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/>
  <mc:AlternateContent xmlns:mc="http://schemas.openxmlformats.org/markup-compatibility/2006">
    <mc:Choice Requires="x15">
      <x15ac:absPath xmlns:x15ac="http://schemas.microsoft.com/office/spreadsheetml/2010/11/ac" url="/Users/steph/Downloads/"/>
    </mc:Choice>
  </mc:AlternateContent>
  <xr:revisionPtr revIDLastSave="0" documentId="8_{4B3D4E5C-5F6B-1B49-9F0E-BEC5B9F988D7}" xr6:coauthVersionLast="47" xr6:coauthVersionMax="47" xr10:uidLastSave="{00000000-0000-0000-0000-000000000000}"/>
  <bookViews>
    <workbookView xWindow="0" yWindow="740" windowWidth="29400" windowHeight="18380" activeTab="3" xr2:uid="{3EE2EEF3-EB81-DF41-A772-5093FE22C16C}"/>
  </bookViews>
  <sheets>
    <sheet name="Input Parameters" sheetId="5" r:id="rId1"/>
    <sheet name="Step 0 Oligo Pool Prep" sheetId="4" r:id="rId2"/>
    <sheet name="Step 1 Golden Gate" sheetId="3" r:id="rId3"/>
    <sheet name="Step 2 Golden Gate" sheetId="2" r:id="rId4"/>
    <sheet name="Step 3 Golden Gate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" i="4" l="1"/>
  <c r="E62" i="4"/>
  <c r="E61" i="4"/>
  <c r="E60" i="4"/>
  <c r="H52" i="2"/>
  <c r="H53" i="3"/>
  <c r="E10" i="3"/>
  <c r="G61" i="4" l="1"/>
  <c r="G60" i="4"/>
  <c r="D66" i="4" s="1"/>
  <c r="F60" i="4"/>
  <c r="D60" i="4"/>
  <c r="G55" i="4"/>
  <c r="G52" i="4"/>
  <c r="D15" i="4"/>
  <c r="F27" i="1"/>
  <c r="F38" i="2"/>
  <c r="G38" i="2" s="1"/>
  <c r="D9" i="2" s="1"/>
  <c r="D8" i="2" s="1"/>
  <c r="C52" i="2"/>
  <c r="C49" i="2"/>
  <c r="C48" i="2"/>
  <c r="F41" i="3"/>
  <c r="F40" i="3"/>
  <c r="C53" i="3"/>
  <c r="F56" i="4"/>
  <c r="F55" i="4"/>
  <c r="C61" i="4" s="1"/>
  <c r="F53" i="4"/>
  <c r="F52" i="4"/>
  <c r="C60" i="4" s="1"/>
  <c r="C56" i="4"/>
  <c r="C55" i="4"/>
  <c r="C53" i="4"/>
  <c r="G53" i="4" s="1"/>
  <c r="D16" i="4" s="1"/>
  <c r="C52" i="4"/>
  <c r="C67" i="4"/>
  <c r="C66" i="4"/>
  <c r="C49" i="3"/>
  <c r="C48" i="3"/>
  <c r="C44" i="2"/>
  <c r="F48" i="2" s="1"/>
  <c r="E44" i="2"/>
  <c r="F44" i="2" s="1"/>
  <c r="C45" i="2"/>
  <c r="F49" i="2" s="1"/>
  <c r="E45" i="2"/>
  <c r="F45" i="2" s="1"/>
  <c r="D49" i="2" s="1"/>
  <c r="C44" i="3"/>
  <c r="F48" i="3" s="1"/>
  <c r="E44" i="3"/>
  <c r="F44" i="3" s="1"/>
  <c r="D48" i="3" s="1"/>
  <c r="C45" i="3"/>
  <c r="F49" i="3" s="1"/>
  <c r="E45" i="3"/>
  <c r="F45" i="3" s="1"/>
  <c r="D49" i="3" s="1"/>
  <c r="E56" i="4"/>
  <c r="D63" i="4" s="1"/>
  <c r="E55" i="4"/>
  <c r="D61" i="4" s="1"/>
  <c r="E53" i="4"/>
  <c r="D62" i="4" s="1"/>
  <c r="E52" i="4"/>
  <c r="D56" i="4"/>
  <c r="F63" i="4" s="1"/>
  <c r="D55" i="4"/>
  <c r="D53" i="4"/>
  <c r="F62" i="4" s="1"/>
  <c r="D52" i="4"/>
  <c r="C62" i="4"/>
  <c r="E39" i="3"/>
  <c r="G39" i="3" s="1"/>
  <c r="F9" i="3" s="1"/>
  <c r="E38" i="3"/>
  <c r="G38" i="3" s="1"/>
  <c r="E26" i="1"/>
  <c r="G26" i="1" s="1"/>
  <c r="G66" i="4" l="1"/>
  <c r="E49" i="2"/>
  <c r="E49" i="3"/>
  <c r="G49" i="3" s="1"/>
  <c r="D17" i="4"/>
  <c r="G56" i="4"/>
  <c r="D18" i="4" s="1"/>
  <c r="C63" i="4"/>
  <c r="G63" i="4" s="1"/>
  <c r="G62" i="4"/>
  <c r="D67" i="4" s="1"/>
  <c r="G49" i="2"/>
  <c r="G25" i="2"/>
  <c r="C27" i="1" s="1"/>
  <c r="E27" i="1" s="1"/>
  <c r="G27" i="1" s="1"/>
  <c r="E10" i="1" s="1"/>
  <c r="D48" i="2"/>
  <c r="E48" i="2" s="1"/>
  <c r="G48" i="2" s="1"/>
  <c r="G25" i="3"/>
  <c r="C38" i="2" s="1"/>
  <c r="E38" i="2" s="1"/>
  <c r="E39" i="2" s="1"/>
  <c r="D39" i="2" s="1"/>
  <c r="G39" i="2" s="1"/>
  <c r="E48" i="3"/>
  <c r="G48" i="3" s="1"/>
  <c r="F61" i="4"/>
  <c r="D43" i="4" s="1"/>
  <c r="E9" i="2"/>
  <c r="F9" i="2"/>
  <c r="F8" i="2" s="1"/>
  <c r="G9" i="2"/>
  <c r="D44" i="4"/>
  <c r="D9" i="3"/>
  <c r="D8" i="3" s="1"/>
  <c r="G9" i="3"/>
  <c r="F8" i="3"/>
  <c r="E9" i="3"/>
  <c r="D9" i="1"/>
  <c r="D8" i="1" s="1"/>
  <c r="E9" i="1"/>
  <c r="G67" i="4" l="1"/>
  <c r="D52" i="2"/>
  <c r="D53" i="3"/>
  <c r="E8" i="1"/>
  <c r="C40" i="3"/>
  <c r="E40" i="3" s="1"/>
  <c r="G40" i="3" s="1"/>
  <c r="C41" i="3"/>
  <c r="E41" i="3" s="1"/>
  <c r="G41" i="3" s="1"/>
  <c r="E10" i="2"/>
  <c r="E8" i="2" s="1"/>
  <c r="G10" i="2"/>
  <c r="G8" i="2" s="1"/>
  <c r="F22" i="4" l="1"/>
  <c r="E52" i="2"/>
  <c r="E25" i="2" s="1"/>
  <c r="D25" i="2"/>
  <c r="E53" i="3"/>
  <c r="E25" i="3" s="1"/>
  <c r="D25" i="3"/>
  <c r="E67" i="4"/>
  <c r="H67" i="4" s="1"/>
  <c r="F23" i="4"/>
  <c r="G10" i="3"/>
  <c r="G8" i="3" s="1"/>
  <c r="E8" i="3"/>
  <c r="E66" i="4"/>
  <c r="D28" i="2"/>
  <c r="G52" i="2"/>
  <c r="F52" i="2"/>
  <c r="D28" i="3"/>
  <c r="G53" i="3"/>
  <c r="F53" i="3"/>
  <c r="E22" i="4" l="1"/>
  <c r="H66" i="4"/>
  <c r="G22" i="4" s="1"/>
  <c r="F66" i="4"/>
  <c r="E23" i="4"/>
  <c r="F67" i="4"/>
  <c r="F25" i="2"/>
  <c r="F25" i="3"/>
  <c r="G23" i="4"/>
  <c r="E33" i="4" s="1"/>
  <c r="E34" i="4" s="1"/>
  <c r="E35" i="4" s="1"/>
  <c r="D33" i="4" l="1"/>
  <c r="D34" i="4" s="1"/>
  <c r="D35" i="4" s="1"/>
</calcChain>
</file>

<file path=xl/sharedStrings.xml><?xml version="1.0" encoding="utf-8"?>
<sst xmlns="http://schemas.openxmlformats.org/spreadsheetml/2006/main" count="277" uniqueCount="196">
  <si>
    <t>Prop. Mixing Step 1 Product</t>
  </si>
  <si>
    <t>Conc (ng/uL)</t>
  </si>
  <si>
    <t>Avg Length</t>
  </si>
  <si>
    <t>Total pmol per uL</t>
  </si>
  <si>
    <t>Total Step 2 vectors</t>
  </si>
  <si>
    <t>fmol per oligo per uL</t>
  </si>
  <si>
    <t>Step 2A</t>
  </si>
  <si>
    <t>Step 2B</t>
  </si>
  <si>
    <t>Total Pool Volume (uL)</t>
  </si>
  <si>
    <t>Volume 2A</t>
  </si>
  <si>
    <t>Volume 2B</t>
  </si>
  <si>
    <t>2A - fmol/vector/uL</t>
  </si>
  <si>
    <t>2B - fmol/vector/uL</t>
  </si>
  <si>
    <t>Final total conc (ng/uL)</t>
  </si>
  <si>
    <t>Combined Step 1 Pool</t>
  </si>
  <si>
    <t>Total</t>
  </si>
  <si>
    <t>Total Step 1 vectors</t>
  </si>
  <si>
    <t>Step 1A</t>
  </si>
  <si>
    <t>Step 1B</t>
  </si>
  <si>
    <t>Volume 1A</t>
  </si>
  <si>
    <t>Volume 1B</t>
  </si>
  <si>
    <t>1A - fmol/vector/uL</t>
  </si>
  <si>
    <t>1B - fmol/vector/uL</t>
  </si>
  <si>
    <t>T4 Ligase Buffer</t>
  </si>
  <si>
    <t>Step 2 Insert (Both Pools)</t>
  </si>
  <si>
    <t>(2:1 insert vector molar ratio)</t>
  </si>
  <si>
    <t>Use 2x backbone as normal</t>
  </si>
  <si>
    <t>BbsI Enzyme</t>
  </si>
  <si>
    <t>Step 1 Vector Pool A</t>
  </si>
  <si>
    <t>Step 1 Vector Pool B</t>
  </si>
  <si>
    <t>CDR3 Oligo Pool A</t>
  </si>
  <si>
    <t>CDR3 Oligo Pool B</t>
  </si>
  <si>
    <t>Resuspend TE Volume (uL)</t>
  </si>
  <si>
    <t>Total oligos</t>
  </si>
  <si>
    <t>Combined Pool A</t>
  </si>
  <si>
    <t>Combined Pool B</t>
  </si>
  <si>
    <t>Combined Conc (ng/uL)</t>
  </si>
  <si>
    <t>Average Length</t>
  </si>
  <si>
    <t>Concentration (ng/uL)</t>
  </si>
  <si>
    <t>Resuspension</t>
  </si>
  <si>
    <t>Final Stock Conc (ng/uL)</t>
  </si>
  <si>
    <t>Conserved pGGA Size (bp)</t>
  </si>
  <si>
    <t>Average Step 1 Size (bp)</t>
  </si>
  <si>
    <t>Average Step 2 Size (bp)</t>
  </si>
  <si>
    <t>Avg TCRb-P2A-TCRa Size (bp)</t>
  </si>
  <si>
    <t>Avg TRBV-CDR3-TRAC Size (bp)</t>
  </si>
  <si>
    <t>Total Step 1 Vectors</t>
  </si>
  <si>
    <t>Sap1 Enzyme</t>
  </si>
  <si>
    <t>Num Oligos: Pool A Under 300bp</t>
  </si>
  <si>
    <t>Num Oligos: Pool B Under 300bp</t>
  </si>
  <si>
    <t>Num Oligos: Pool A Over 300bp</t>
  </si>
  <si>
    <t>Num Oligos: Pool B Over 300bp</t>
  </si>
  <si>
    <t>Avg Oligo Size: Pool A Under 300bp</t>
  </si>
  <si>
    <t>Avg Oligo Size: Pool B Under 300bp</t>
  </si>
  <si>
    <t>Avg Oligo Size: Pool A Over 300bp</t>
  </si>
  <si>
    <t>Avg Oligo Size: Pool B Over 300bp</t>
  </si>
  <si>
    <t>Num Vectors: Step 1A Product</t>
  </si>
  <si>
    <t>Avg TRBV-CDR3-TRAC Size: Step 1A Product</t>
  </si>
  <si>
    <t>Num Vectors: Step 1B Product</t>
  </si>
  <si>
    <t>Avg TRBV-CDR3-TRAC Size: Step 1B Product</t>
  </si>
  <si>
    <t>Num Vectors: Step 2A Product</t>
  </si>
  <si>
    <t>Num Vectors: Step 2B Product</t>
  </si>
  <si>
    <t>Avg TCRb-P2A-TRAC Size: Step 2A Product</t>
  </si>
  <si>
    <t>Avg TCRb-P2A-TRAC Size: Step 2B Product</t>
  </si>
  <si>
    <t>Total Vectors</t>
  </si>
  <si>
    <t>Step 2 Product:</t>
  </si>
  <si>
    <t>Step 1 Product:</t>
  </si>
  <si>
    <t>Prop. Mixing Step 2 Product</t>
  </si>
  <si>
    <t>Combined Step 2 Pool</t>
  </si>
  <si>
    <t>Assembly Metadata (COPY PASTE FROM THE TCRAFT SCRIPT OUTPUT, Assembly_Metadata.csv)</t>
  </si>
  <si>
    <t>Oligo Pool Metadata (COPY PASTE FROM THE TCRAFT SCRIPT OUTPUT - Oligo_Pool_Metadata.csv file)</t>
  </si>
  <si>
    <t>YELLOW CELLS = MANUALLY INPUT VALUES FOR YOUR EXPERIMENT. Values currently shown are sample values.</t>
  </si>
  <si>
    <t>Proportional Mixing</t>
  </si>
  <si>
    <t>Under 300 Pool A</t>
  </si>
  <si>
    <t>Under 300 Pool B</t>
  </si>
  <si>
    <t>Over 300 Pool A</t>
  </si>
  <si>
    <t>Over 300 Pool B</t>
  </si>
  <si>
    <t>Volume Under 300</t>
  </si>
  <si>
    <t>Volume Over 300</t>
  </si>
  <si>
    <t>Under300 - fmol/oligo/uL</t>
  </si>
  <si>
    <t>Over300 - fmol/oligo/uL</t>
  </si>
  <si>
    <t>Yellow = sample values</t>
  </si>
  <si>
    <t>5x HF Buffer</t>
  </si>
  <si>
    <t>DMSO</t>
  </si>
  <si>
    <t>Water</t>
  </si>
  <si>
    <t>Set up Duplicate PCRs (2x master mix, split into 2 tubes) with 10 ng product per PCR reaction</t>
  </si>
  <si>
    <t>Follow polymerase manufacturer protocol for PCR. Example protocol shown below for Phusion polymerase:</t>
  </si>
  <si>
    <t>Volume (uL) Pool A</t>
  </si>
  <si>
    <t>Volume (uL) Pool B</t>
  </si>
  <si>
    <t>(Split each 100uL master mix into two separate 50uL PCR reactions)</t>
  </si>
  <si>
    <t xml:space="preserve">Check concentration of amplified oligo pool and record in the yellow boxes below: </t>
  </si>
  <si>
    <t>Pool Name</t>
  </si>
  <si>
    <t>OLIGO POOL AMPLIFICATION PROTOCOL</t>
  </si>
  <si>
    <t>TE Resuspension Volume (uL)</t>
  </si>
  <si>
    <t>Total DNA Yield (ng)</t>
  </si>
  <si>
    <t># of oligos</t>
  </si>
  <si>
    <t>Combined Pool Name</t>
  </si>
  <si>
    <t>Volume of Under 300 Pool (uL)</t>
  </si>
  <si>
    <t>Volume Over 300 Pool (uL)</t>
  </si>
  <si>
    <t>Proportionally mix the under 300 and over 300 oligos for each subpool according to the volumes below:</t>
  </si>
  <si>
    <t>Reagent</t>
  </si>
  <si>
    <t>SPRI Cleanup PCR product using a 1.8x bead volume to PCR product volume ratio.</t>
  </si>
  <si>
    <t>Clean up one set, then use the eluate from first duplicate to elute the 2nd duplicate.</t>
  </si>
  <si>
    <t>Make sure to spin the lyophilized DNA at &gt;6,000xg for 5 minutes prior to resuspension to prevent DNA loss.</t>
  </si>
  <si>
    <t>CALCULATIONS</t>
  </si>
  <si>
    <t>Resuspend all pools using the TE buffer volumes listed below.</t>
  </si>
  <si>
    <t xml:space="preserve">Set up &amp; run the following Golden Gate reactions by combining the following reagents with the appropriate volumes </t>
  </si>
  <si>
    <t>Record the final vector concentrations below for each pool</t>
  </si>
  <si>
    <t>Step 1A Product</t>
  </si>
  <si>
    <t>Step 1B Product</t>
  </si>
  <si>
    <t xml:space="preserve">Volume Step 1A Product (uL) </t>
  </si>
  <si>
    <t>Total Volume (uL)</t>
  </si>
  <si>
    <t>Final Combined Conc. (ng/uL)</t>
  </si>
  <si>
    <t>Total DNA yield (ng)</t>
  </si>
  <si>
    <t>Resuspension Conc. (ng/uL)</t>
  </si>
  <si>
    <t>Fill in the following values prior to oligo pool resuspension/prep.</t>
  </si>
  <si>
    <t>Volume of H2O to add (uL):</t>
  </si>
  <si>
    <t>Weighted Avg. Vector Size (bp)</t>
  </si>
  <si>
    <r>
      <t xml:space="preserve">Dilute final combined Step 1 product to </t>
    </r>
    <r>
      <rPr>
        <b/>
        <sz val="12"/>
        <color theme="1"/>
        <rFont val="Aptos Narrow"/>
        <scheme val="minor"/>
      </rPr>
      <t xml:space="preserve">75ng/uL </t>
    </r>
    <r>
      <rPr>
        <sz val="12"/>
        <color theme="1"/>
        <rFont val="Aptos Narrow"/>
        <family val="2"/>
        <scheme val="minor"/>
      </rPr>
      <t>by adding the following amount of H2O to the mixture</t>
    </r>
  </si>
  <si>
    <t>Final Step 1 Conc. (ng/uL)</t>
  </si>
  <si>
    <t>TCRAFT Step 1 Protocol</t>
  </si>
  <si>
    <t>Light Green Values = imported from the "Input Parameters" Sheet or other previous sheets</t>
  </si>
  <si>
    <t>Step 1 Combined Product</t>
  </si>
  <si>
    <t>Step 2A Product</t>
  </si>
  <si>
    <t>Step 2B Product</t>
  </si>
  <si>
    <t xml:space="preserve">Volume Step 2A Product (uL) </t>
  </si>
  <si>
    <t xml:space="preserve">Volume Step 2B Product (uL) </t>
  </si>
  <si>
    <t xml:space="preserve">Volume Step 1B Product (uL) </t>
  </si>
  <si>
    <t>Final Step 2 Conc. (ng/uL)</t>
  </si>
  <si>
    <r>
      <t xml:space="preserve">Dilute final combined Step 2 product to </t>
    </r>
    <r>
      <rPr>
        <b/>
        <sz val="12"/>
        <color theme="1"/>
        <rFont val="Aptos Narrow"/>
        <scheme val="minor"/>
      </rPr>
      <t xml:space="preserve">75ng/uL </t>
    </r>
    <r>
      <rPr>
        <sz val="12"/>
        <color theme="1"/>
        <rFont val="Aptos Narrow"/>
        <family val="2"/>
        <scheme val="minor"/>
      </rPr>
      <t>by adding the following amount of H2O to the mixture</t>
    </r>
  </si>
  <si>
    <t>TCRAFT Step 2 Protocol</t>
  </si>
  <si>
    <t>Combined Step 1 Product</t>
  </si>
  <si>
    <t xml:space="preserve">Record the final vector concentration below </t>
  </si>
  <si>
    <t>Step 3 Final Product</t>
  </si>
  <si>
    <t>TCRAFT Step 3 Protocol</t>
  </si>
  <si>
    <t>Step 0A:</t>
  </si>
  <si>
    <t xml:space="preserve">Step 0B: </t>
  </si>
  <si>
    <t xml:space="preserve">Step 0C: </t>
  </si>
  <si>
    <t xml:space="preserve">Step 0D: </t>
  </si>
  <si>
    <t xml:space="preserve">After Step 0: </t>
  </si>
  <si>
    <t>Before Step 0:</t>
  </si>
  <si>
    <t xml:space="preserve">Steps 1A and 1B: </t>
  </si>
  <si>
    <t>Run Golden Gate and clean-up cut according to protocol instructions.</t>
  </si>
  <si>
    <t xml:space="preserve">Step 1D: </t>
  </si>
  <si>
    <t>Dialyze, electroporate, and midiprep the Golden Gate products (no need to prep the negative control)</t>
  </si>
  <si>
    <t xml:space="preserve">Step 1C: </t>
  </si>
  <si>
    <t xml:space="preserve">Step 1D (con't): </t>
  </si>
  <si>
    <t xml:space="preserve">After Step 1: </t>
  </si>
  <si>
    <t xml:space="preserve">Steps 2A and 2B: </t>
  </si>
  <si>
    <t xml:space="preserve">Step 2C: </t>
  </si>
  <si>
    <t xml:space="preserve">Step 2D: </t>
  </si>
  <si>
    <t>Dialyze, electroporate, and midiprep the Golden Gate products (no need to prep the negative controls)</t>
  </si>
  <si>
    <t xml:space="preserve">Step 2D (con't): </t>
  </si>
  <si>
    <t xml:space="preserve">After Step 2: </t>
  </si>
  <si>
    <t>Dialyze, electroporate, and midiprep the Golden Gate product (no need to prep the negative control)</t>
  </si>
  <si>
    <t xml:space="preserve">Step 3B: </t>
  </si>
  <si>
    <t xml:space="preserve">Step 3A: </t>
  </si>
  <si>
    <t>After midiprep, proportionally mix the Step 2A and Step 2B products according to the formula below:</t>
  </si>
  <si>
    <t>After midiprep, proportionally mix the Step 1A and Step 1B products according to the formula below:</t>
  </si>
  <si>
    <t>Combined Oligo Pool A</t>
  </si>
  <si>
    <t>Combined Oligo Pool B</t>
  </si>
  <si>
    <t>Use Vector Mix 1A and Oligo Pool A</t>
  </si>
  <si>
    <t>Use Vector Mix 1B and Oligo Pool B</t>
  </si>
  <si>
    <t>Use BsmBI Enzyme and Step 2A Vector Mix</t>
  </si>
  <si>
    <t>Use BsaI Enzyme and Step 2B Vector Mix</t>
  </si>
  <si>
    <t>Step 2 Vector Mix (2A or 2B)</t>
  </si>
  <si>
    <t>CDR3 Oligo Pool (Pool A or B)</t>
  </si>
  <si>
    <t>Step 1 Vector Mix (1A or 1B)</t>
  </si>
  <si>
    <t>NEBridge Ligase Master Mix</t>
  </si>
  <si>
    <t>Nuclease-free water</t>
  </si>
  <si>
    <t>dNTPs (7 mM)</t>
  </si>
  <si>
    <t>Opool_Amp_R Primer (10 uM)</t>
  </si>
  <si>
    <t>Opool_Amp_F Primer (10 uM)</t>
  </si>
  <si>
    <t>Oligo Template (2 x 10ng)</t>
  </si>
  <si>
    <t>BbsI Pool A Negative Ctrl (uL)</t>
  </si>
  <si>
    <t>BbsI + Pool A Oligos (uL)</t>
  </si>
  <si>
    <t>BbsI Pool B Negative Ctrl (uL)</t>
  </si>
  <si>
    <t>BbsI + Pool B Oligos (uL)</t>
  </si>
  <si>
    <t>Pool 2A - BsmBI Negative Ctrl (uL)</t>
  </si>
  <si>
    <t>Pool 2A - BsmBI + 2:1 Step1 insert (uL)</t>
  </si>
  <si>
    <t>Pool 2B - BsaI Neg. Ctrl (uL)</t>
  </si>
  <si>
    <t>Pool 2B - BsaI + 2:1 Step1 insert (uL)</t>
  </si>
  <si>
    <t>SapI Negative Ctrl (uL)</t>
  </si>
  <si>
    <t>pHIV-NoEGFR Dest. Vector</t>
  </si>
  <si>
    <t>Step 2 Combined Product</t>
  </si>
  <si>
    <t>Note: You can use a different destination vector, just make sure to update the vector size (bp) in the calculation table below.</t>
  </si>
  <si>
    <t>Average Size (bp)</t>
  </si>
  <si>
    <t>ng (pmol -&gt; ng conversion)</t>
  </si>
  <si>
    <t>Stock ng/ul conc.</t>
  </si>
  <si>
    <t>pmol needed (protocol)</t>
  </si>
  <si>
    <t>Volume to add (uL)</t>
  </si>
  <si>
    <t>ng (from protocol/measurement)</t>
  </si>
  <si>
    <t>ng/bp ratio</t>
  </si>
  <si>
    <t>Destination Vector</t>
  </si>
  <si>
    <t>SapI + 2:1 Step 2 Product (uL)</t>
  </si>
  <si>
    <t>Enzyme Master Mix (BsmBI or BsaI)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</si>
</sst>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b/>
      <sz val="12"/>
      <color rgb="FF000000"/>
      <name val="Aptos Narrow"/>
      <scheme val="minor"/>
    </font>
    <font>
      <sz val="12"/>
      <color rgb="FF000000"/>
      <name val="Aptos Narrow"/>
      <family val="2"/>
      <scheme val="minor"/>
    </font>
    <font>
      <sz val="12"/>
      <color rgb="FF000000"/>
      <name val="Aptos Narrow"/>
      <scheme val="minor"/>
    </font>
    <font>
      <b/>
      <sz val="16"/>
      <color theme="1"/>
      <name val="Aptos Narrow"/>
      <scheme val="minor"/>
    </font>
    <font>
      <sz val="16"/>
      <color theme="1"/>
      <name val="Aptos Narrow"/>
      <scheme val="minor"/>
    </font>
    <font>
      <i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b/>
      <sz val="14"/>
      <color theme="0"/>
      <name val="Aptos Narrow"/>
      <scheme val="minor"/>
    </font>
    <font>
      <sz val="14"/>
      <color theme="0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2" borderId="0" xfId="0" applyFill="1"/>
    <xf numFmtId="0" fontId="6" fillId="0" borderId="0" xfId="0" applyFont="1"/>
    <xf numFmtId="0" fontId="7" fillId="0" borderId="0" xfId="0" applyFont="1"/>
    <xf numFmtId="0" fontId="8" fillId="2" borderId="0" xfId="0" applyFont="1" applyFill="1"/>
    <xf numFmtId="0" fontId="1" fillId="0" borderId="4" xfId="0" applyFont="1" applyBorder="1"/>
    <xf numFmtId="0" fontId="0" fillId="0" borderId="5" xfId="0" applyBorder="1"/>
    <xf numFmtId="0" fontId="1" fillId="0" borderId="4" xfId="0" applyFont="1" applyBorder="1" applyAlignment="1">
      <alignment horizontal="right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1" xfId="0" applyFont="1" applyBorder="1"/>
    <xf numFmtId="0" fontId="1" fillId="0" borderId="3" xfId="0" applyFont="1" applyBorder="1"/>
    <xf numFmtId="0" fontId="1" fillId="0" borderId="2" xfId="0" applyFont="1" applyBorder="1"/>
    <xf numFmtId="0" fontId="2" fillId="0" borderId="4" xfId="0" applyFont="1" applyBorder="1"/>
    <xf numFmtId="0" fontId="2" fillId="0" borderId="6" xfId="0" applyFont="1" applyBorder="1"/>
    <xf numFmtId="0" fontId="2" fillId="2" borderId="5" xfId="0" applyFont="1" applyFill="1" applyBorder="1"/>
    <xf numFmtId="0" fontId="2" fillId="0" borderId="7" xfId="0" applyFont="1" applyBorder="1"/>
    <xf numFmtId="0" fontId="2" fillId="2" borderId="8" xfId="0" applyFont="1" applyFill="1" applyBorder="1"/>
    <xf numFmtId="0" fontId="0" fillId="3" borderId="0" xfId="0" applyFill="1"/>
    <xf numFmtId="0" fontId="2" fillId="0" borderId="5" xfId="0" applyFont="1" applyBorder="1"/>
    <xf numFmtId="0" fontId="0" fillId="2" borderId="7" xfId="0" applyFill="1" applyBorder="1"/>
    <xf numFmtId="0" fontId="2" fillId="0" borderId="8" xfId="0" applyFont="1" applyBorder="1"/>
    <xf numFmtId="0" fontId="0" fillId="0" borderId="4" xfId="0" applyBorder="1" applyAlignment="1">
      <alignment horizontal="right"/>
    </xf>
    <xf numFmtId="0" fontId="1" fillId="0" borderId="6" xfId="0" applyFont="1" applyBorder="1"/>
    <xf numFmtId="0" fontId="0" fillId="2" borderId="5" xfId="0" applyFill="1" applyBorder="1"/>
    <xf numFmtId="0" fontId="0" fillId="2" borderId="8" xfId="0" applyFill="1" applyBorder="1"/>
    <xf numFmtId="0" fontId="0" fillId="2" borderId="6" xfId="0" applyFill="1" applyBorder="1"/>
    <xf numFmtId="0" fontId="0" fillId="0" borderId="3" xfId="0" applyBorder="1"/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1" xfId="0" applyBorder="1"/>
    <xf numFmtId="0" fontId="2" fillId="3" borderId="0" xfId="0" applyFont="1" applyFill="1"/>
    <xf numFmtId="0" fontId="3" fillId="0" borderId="4" xfId="0" applyFont="1" applyBorder="1"/>
    <xf numFmtId="49" fontId="3" fillId="0" borderId="0" xfId="0" applyNumberFormat="1" applyFont="1"/>
    <xf numFmtId="49" fontId="3" fillId="0" borderId="5" xfId="0" applyNumberFormat="1" applyFont="1" applyBorder="1"/>
    <xf numFmtId="0" fontId="4" fillId="0" borderId="5" xfId="0" applyFont="1" applyBorder="1"/>
    <xf numFmtId="0" fontId="3" fillId="0" borderId="6" xfId="0" applyFont="1" applyBorder="1"/>
    <xf numFmtId="0" fontId="4" fillId="0" borderId="7" xfId="0" applyFont="1" applyBorder="1"/>
    <xf numFmtId="0" fontId="4" fillId="0" borderId="8" xfId="0" applyFont="1" applyBorder="1"/>
    <xf numFmtId="49" fontId="3" fillId="0" borderId="12" xfId="0" applyNumberFormat="1" applyFont="1" applyBorder="1"/>
    <xf numFmtId="49" fontId="3" fillId="0" borderId="13" xfId="0" applyNumberFormat="1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5" fillId="0" borderId="0" xfId="0" applyFont="1"/>
    <xf numFmtId="0" fontId="5" fillId="3" borderId="0" xfId="0" applyFont="1" applyFill="1"/>
    <xf numFmtId="0" fontId="4" fillId="0" borderId="4" xfId="0" applyFont="1" applyBorder="1"/>
    <xf numFmtId="0" fontId="3" fillId="0" borderId="1" xfId="0" applyFont="1" applyBorder="1"/>
    <xf numFmtId="49" fontId="3" fillId="0" borderId="2" xfId="0" applyNumberFormat="1" applyFont="1" applyBorder="1"/>
    <xf numFmtId="49" fontId="3" fillId="0" borderId="3" xfId="0" applyNumberFormat="1" applyFont="1" applyBorder="1"/>
    <xf numFmtId="0" fontId="10" fillId="0" borderId="3" xfId="0" applyFont="1" applyBorder="1"/>
    <xf numFmtId="0" fontId="10" fillId="0" borderId="0" xfId="0" applyFont="1"/>
    <xf numFmtId="0" fontId="1" fillId="0" borderId="7" xfId="0" applyFont="1" applyBorder="1"/>
    <xf numFmtId="0" fontId="10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49" fontId="1" fillId="0" borderId="5" xfId="0" applyNumberFormat="1" applyFont="1" applyBorder="1"/>
    <xf numFmtId="49" fontId="1" fillId="0" borderId="12" xfId="0" applyNumberFormat="1" applyFont="1" applyBorder="1"/>
    <xf numFmtId="0" fontId="0" fillId="0" borderId="12" xfId="0" applyBorder="1"/>
    <xf numFmtId="0" fontId="0" fillId="0" borderId="14" xfId="0" applyBorder="1"/>
    <xf numFmtId="49" fontId="1" fillId="0" borderId="13" xfId="0" applyNumberFormat="1" applyFont="1" applyBorder="1"/>
    <xf numFmtId="0" fontId="0" fillId="0" borderId="13" xfId="0" applyBorder="1"/>
    <xf numFmtId="0" fontId="0" fillId="0" borderId="15" xfId="0" applyBorder="1"/>
    <xf numFmtId="0" fontId="3" fillId="2" borderId="4" xfId="0" applyFont="1" applyFill="1" applyBorder="1"/>
    <xf numFmtId="0" fontId="4" fillId="2" borderId="0" xfId="0" applyFont="1" applyFill="1"/>
    <xf numFmtId="0" fontId="5" fillId="0" borderId="5" xfId="0" applyFont="1" applyBorder="1"/>
    <xf numFmtId="0" fontId="10" fillId="4" borderId="1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0" fillId="4" borderId="9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/>
    </xf>
    <xf numFmtId="0" fontId="10" fillId="4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DFFD8-3AB3-8F4A-9488-80501F37FA07}">
  <dimension ref="A1:G19"/>
  <sheetViews>
    <sheetView workbookViewId="0">
      <selection activeCell="B27" sqref="B27"/>
    </sheetView>
  </sheetViews>
  <sheetFormatPr baseColWidth="10" defaultRowHeight="16" x14ac:dyDescent="0.2"/>
  <cols>
    <col min="1" max="1" width="38" customWidth="1"/>
    <col min="2" max="3" width="29.1640625" customWidth="1"/>
  </cols>
  <sheetData>
    <row r="1" spans="1:7" ht="22" x14ac:dyDescent="0.3">
      <c r="A1" s="6" t="s">
        <v>70</v>
      </c>
      <c r="B1" s="7"/>
      <c r="C1" s="7"/>
      <c r="F1" s="8" t="s">
        <v>81</v>
      </c>
      <c r="G1" s="5"/>
    </row>
    <row r="2" spans="1:7" x14ac:dyDescent="0.2">
      <c r="A2" t="s">
        <v>48</v>
      </c>
      <c r="B2" s="5">
        <v>1587</v>
      </c>
    </row>
    <row r="3" spans="1:7" x14ac:dyDescent="0.2">
      <c r="A3" t="s">
        <v>49</v>
      </c>
      <c r="B3" s="5">
        <v>2110</v>
      </c>
    </row>
    <row r="4" spans="1:7" x14ac:dyDescent="0.2">
      <c r="A4" t="s">
        <v>50</v>
      </c>
      <c r="B4" s="5">
        <v>39</v>
      </c>
    </row>
    <row r="5" spans="1:7" x14ac:dyDescent="0.2">
      <c r="A5" t="s">
        <v>51</v>
      </c>
      <c r="B5" s="5">
        <v>72</v>
      </c>
    </row>
    <row r="6" spans="1:7" x14ac:dyDescent="0.2">
      <c r="A6" t="s">
        <v>52</v>
      </c>
      <c r="B6" s="5">
        <v>268.24637681159402</v>
      </c>
    </row>
    <row r="7" spans="1:7" x14ac:dyDescent="0.2">
      <c r="A7" t="s">
        <v>53</v>
      </c>
      <c r="B7" s="5">
        <v>268.07345971563899</v>
      </c>
    </row>
    <row r="8" spans="1:7" x14ac:dyDescent="0.2">
      <c r="A8" t="s">
        <v>54</v>
      </c>
      <c r="B8" s="5">
        <v>310.20512820512801</v>
      </c>
    </row>
    <row r="9" spans="1:7" x14ac:dyDescent="0.2">
      <c r="A9" t="s">
        <v>55</v>
      </c>
      <c r="B9" s="5">
        <v>307.194444444444</v>
      </c>
    </row>
    <row r="11" spans="1:7" ht="22" x14ac:dyDescent="0.3">
      <c r="A11" s="6" t="s">
        <v>69</v>
      </c>
      <c r="B11" s="7"/>
      <c r="C11" s="7"/>
    </row>
    <row r="12" spans="1:7" x14ac:dyDescent="0.2">
      <c r="A12" t="s">
        <v>56</v>
      </c>
      <c r="B12" s="5">
        <v>1626</v>
      </c>
    </row>
    <row r="13" spans="1:7" x14ac:dyDescent="0.2">
      <c r="A13" t="s">
        <v>58</v>
      </c>
      <c r="B13" s="5">
        <v>2182</v>
      </c>
    </row>
    <row r="14" spans="1:7" x14ac:dyDescent="0.2">
      <c r="A14" t="s">
        <v>57</v>
      </c>
      <c r="B14" s="5">
        <v>950.821648216482</v>
      </c>
    </row>
    <row r="15" spans="1:7" x14ac:dyDescent="0.2">
      <c r="A15" t="s">
        <v>59</v>
      </c>
      <c r="B15" s="5">
        <v>954.803391384051</v>
      </c>
    </row>
    <row r="16" spans="1:7" x14ac:dyDescent="0.2">
      <c r="A16" t="s">
        <v>60</v>
      </c>
      <c r="B16" s="5">
        <v>1944</v>
      </c>
    </row>
    <row r="17" spans="1:2" x14ac:dyDescent="0.2">
      <c r="A17" t="s">
        <v>61</v>
      </c>
      <c r="B17" s="5">
        <v>1864</v>
      </c>
    </row>
    <row r="18" spans="1:2" x14ac:dyDescent="0.2">
      <c r="A18" t="s">
        <v>62</v>
      </c>
      <c r="B18" s="5">
        <v>1826.3348765432099</v>
      </c>
    </row>
    <row r="19" spans="1:2" x14ac:dyDescent="0.2">
      <c r="A19" t="s">
        <v>63</v>
      </c>
      <c r="B19" s="5">
        <v>1828.1652360515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9B26B-B90A-4947-8283-D0D62C346FE1}">
  <sheetPr>
    <pageSetUpPr fitToPage="1"/>
  </sheetPr>
  <dimension ref="B1:H67"/>
  <sheetViews>
    <sheetView topLeftCell="A23" zoomScale="83" zoomScaleNormal="131" workbookViewId="0">
      <selection activeCell="F53" sqref="F53"/>
    </sheetView>
  </sheetViews>
  <sheetFormatPr baseColWidth="10" defaultRowHeight="16" x14ac:dyDescent="0.2"/>
  <cols>
    <col min="1" max="1" width="20" customWidth="1"/>
    <col min="2" max="2" width="25.83203125" customWidth="1"/>
    <col min="3" max="3" width="27.1640625" customWidth="1"/>
    <col min="4" max="4" width="26.33203125" customWidth="1"/>
    <col min="5" max="8" width="25.83203125" customWidth="1"/>
    <col min="9" max="16" width="19" customWidth="1"/>
  </cols>
  <sheetData>
    <row r="1" spans="2:8" x14ac:dyDescent="0.2">
      <c r="B1" s="80" t="s">
        <v>71</v>
      </c>
      <c r="C1" s="80"/>
      <c r="D1" s="80"/>
      <c r="E1" s="80"/>
      <c r="F1" s="80"/>
      <c r="G1" s="80"/>
      <c r="H1" s="80"/>
    </row>
    <row r="2" spans="2:8" ht="17" thickBot="1" x14ac:dyDescent="0.25"/>
    <row r="3" spans="2:8" ht="20" thickBot="1" x14ac:dyDescent="0.3">
      <c r="B3" s="77" t="s">
        <v>92</v>
      </c>
      <c r="C3" s="78"/>
      <c r="D3" s="78"/>
      <c r="E3" s="78"/>
      <c r="F3" s="78"/>
      <c r="G3" s="78"/>
      <c r="H3" s="79"/>
    </row>
    <row r="4" spans="2:8" x14ac:dyDescent="0.2">
      <c r="B4" s="34"/>
      <c r="C4" s="35"/>
      <c r="D4" s="35"/>
      <c r="E4" s="35"/>
      <c r="F4" s="35"/>
      <c r="G4" s="35"/>
      <c r="H4" s="36"/>
    </row>
    <row r="5" spans="2:8" ht="17" thickBot="1" x14ac:dyDescent="0.25">
      <c r="B5" s="11" t="s">
        <v>140</v>
      </c>
      <c r="C5" t="s">
        <v>115</v>
      </c>
      <c r="H5" s="10"/>
    </row>
    <row r="6" spans="2:8" x14ac:dyDescent="0.2">
      <c r="B6" s="9"/>
      <c r="C6" s="16" t="s">
        <v>91</v>
      </c>
      <c r="D6" s="18" t="s">
        <v>113</v>
      </c>
      <c r="E6" s="17" t="s">
        <v>114</v>
      </c>
      <c r="H6" s="10"/>
    </row>
    <row r="7" spans="2:8" x14ac:dyDescent="0.2">
      <c r="B7" s="9"/>
      <c r="C7" s="12" t="s">
        <v>73</v>
      </c>
      <c r="D7" s="5">
        <v>139.9</v>
      </c>
      <c r="E7" s="30">
        <v>5</v>
      </c>
      <c r="H7" s="10"/>
    </row>
    <row r="8" spans="2:8" ht="17" customHeight="1" x14ac:dyDescent="0.2">
      <c r="B8" s="9"/>
      <c r="C8" s="12" t="s">
        <v>74</v>
      </c>
      <c r="D8" s="5">
        <v>144.5</v>
      </c>
      <c r="E8" s="30">
        <v>5</v>
      </c>
      <c r="H8" s="10"/>
    </row>
    <row r="9" spans="2:8" x14ac:dyDescent="0.2">
      <c r="B9" s="9"/>
      <c r="C9" s="12" t="s">
        <v>75</v>
      </c>
      <c r="D9" s="5">
        <v>35000</v>
      </c>
      <c r="E9" s="30">
        <v>10</v>
      </c>
      <c r="H9" s="10"/>
    </row>
    <row r="10" spans="2:8" ht="17" thickBot="1" x14ac:dyDescent="0.25">
      <c r="B10" s="9"/>
      <c r="C10" s="13" t="s">
        <v>76</v>
      </c>
      <c r="D10" s="26">
        <v>68000</v>
      </c>
      <c r="E10" s="31">
        <v>10</v>
      </c>
      <c r="H10" s="10"/>
    </row>
    <row r="11" spans="2:8" x14ac:dyDescent="0.2">
      <c r="B11" s="9"/>
      <c r="H11" s="10"/>
    </row>
    <row r="12" spans="2:8" x14ac:dyDescent="0.2">
      <c r="B12" s="11" t="s">
        <v>135</v>
      </c>
      <c r="C12" t="s">
        <v>105</v>
      </c>
      <c r="H12" s="10"/>
    </row>
    <row r="13" spans="2:8" ht="17" thickBot="1" x14ac:dyDescent="0.25">
      <c r="B13" s="28"/>
      <c r="C13" t="s">
        <v>103</v>
      </c>
      <c r="H13" s="10"/>
    </row>
    <row r="14" spans="2:8" x14ac:dyDescent="0.2">
      <c r="B14" s="11"/>
      <c r="C14" s="16" t="s">
        <v>91</v>
      </c>
      <c r="D14" s="17" t="s">
        <v>93</v>
      </c>
      <c r="H14" s="10"/>
    </row>
    <row r="15" spans="2:8" x14ac:dyDescent="0.2">
      <c r="B15" s="11"/>
      <c r="C15" s="12" t="s">
        <v>73</v>
      </c>
      <c r="D15" s="10">
        <f>G52</f>
        <v>27.98</v>
      </c>
      <c r="H15" s="10"/>
    </row>
    <row r="16" spans="2:8" x14ac:dyDescent="0.2">
      <c r="B16" s="11"/>
      <c r="C16" s="12" t="s">
        <v>74</v>
      </c>
      <c r="D16" s="10">
        <f>G53</f>
        <v>28.9</v>
      </c>
      <c r="H16" s="10"/>
    </row>
    <row r="17" spans="2:8" x14ac:dyDescent="0.2">
      <c r="B17" s="11"/>
      <c r="C17" s="12" t="s">
        <v>75</v>
      </c>
      <c r="D17" s="10">
        <f>G55</f>
        <v>3500</v>
      </c>
      <c r="H17" s="10"/>
    </row>
    <row r="18" spans="2:8" ht="17" thickBot="1" x14ac:dyDescent="0.25">
      <c r="B18" s="11"/>
      <c r="C18" s="13" t="s">
        <v>76</v>
      </c>
      <c r="D18" s="15">
        <f>G56</f>
        <v>6800</v>
      </c>
      <c r="H18" s="10"/>
    </row>
    <row r="19" spans="2:8" x14ac:dyDescent="0.2">
      <c r="B19" s="11"/>
      <c r="H19" s="10"/>
    </row>
    <row r="20" spans="2:8" ht="17" thickBot="1" x14ac:dyDescent="0.25">
      <c r="B20" s="11" t="s">
        <v>136</v>
      </c>
      <c r="C20" t="s">
        <v>99</v>
      </c>
      <c r="H20" s="10"/>
    </row>
    <row r="21" spans="2:8" x14ac:dyDescent="0.2">
      <c r="B21" s="28"/>
      <c r="C21" s="16" t="s">
        <v>96</v>
      </c>
      <c r="D21" s="18" t="s">
        <v>8</v>
      </c>
      <c r="E21" s="18" t="s">
        <v>97</v>
      </c>
      <c r="F21" s="18" t="s">
        <v>98</v>
      </c>
      <c r="G21" s="17" t="s">
        <v>36</v>
      </c>
      <c r="H21" s="10"/>
    </row>
    <row r="22" spans="2:8" x14ac:dyDescent="0.2">
      <c r="B22" s="11"/>
      <c r="C22" s="19" t="s">
        <v>159</v>
      </c>
      <c r="D22" s="5">
        <v>10</v>
      </c>
      <c r="E22">
        <f>E66</f>
        <v>9.8599017948354035</v>
      </c>
      <c r="F22">
        <f>D66</f>
        <v>0.14009820516459634</v>
      </c>
      <c r="G22" s="10">
        <f>H66</f>
        <v>5.0700491025822974</v>
      </c>
      <c r="H22" s="10"/>
    </row>
    <row r="23" spans="2:8" ht="17" thickBot="1" x14ac:dyDescent="0.25">
      <c r="B23" s="11"/>
      <c r="C23" s="20" t="s">
        <v>160</v>
      </c>
      <c r="D23" s="26">
        <v>10</v>
      </c>
      <c r="E23" s="14">
        <f>E67</f>
        <v>9.8082397500263259</v>
      </c>
      <c r="F23" s="14">
        <f>D67</f>
        <v>0.19176024997367488</v>
      </c>
      <c r="G23" s="15">
        <f>H67</f>
        <v>5.095880124986838</v>
      </c>
      <c r="H23" s="10"/>
    </row>
    <row r="24" spans="2:8" x14ac:dyDescent="0.2">
      <c r="B24" s="11"/>
      <c r="C24" s="1"/>
      <c r="H24" s="10"/>
    </row>
    <row r="25" spans="2:8" x14ac:dyDescent="0.2">
      <c r="B25" s="11" t="s">
        <v>137</v>
      </c>
      <c r="C25" t="s">
        <v>85</v>
      </c>
      <c r="H25" s="10"/>
    </row>
    <row r="26" spans="2:8" ht="17" thickBot="1" x14ac:dyDescent="0.25">
      <c r="B26" s="28"/>
      <c r="C26" s="2" t="s">
        <v>86</v>
      </c>
      <c r="D26" s="2"/>
      <c r="E26" s="2"/>
      <c r="F26" s="2"/>
      <c r="G26" s="2"/>
      <c r="H26" s="10"/>
    </row>
    <row r="27" spans="2:8" x14ac:dyDescent="0.2">
      <c r="B27" s="28"/>
      <c r="C27" s="16" t="s">
        <v>100</v>
      </c>
      <c r="D27" s="18" t="s">
        <v>87</v>
      </c>
      <c r="E27" s="17" t="s">
        <v>88</v>
      </c>
      <c r="H27" s="10"/>
    </row>
    <row r="28" spans="2:8" x14ac:dyDescent="0.2">
      <c r="B28" s="28"/>
      <c r="C28" s="19" t="s">
        <v>82</v>
      </c>
      <c r="D28">
        <v>20</v>
      </c>
      <c r="E28" s="10">
        <v>20</v>
      </c>
      <c r="H28" s="10"/>
    </row>
    <row r="29" spans="2:8" x14ac:dyDescent="0.2">
      <c r="B29" s="28"/>
      <c r="C29" s="19" t="s">
        <v>83</v>
      </c>
      <c r="D29">
        <v>3</v>
      </c>
      <c r="E29" s="10">
        <v>3</v>
      </c>
      <c r="H29" s="10"/>
    </row>
    <row r="30" spans="2:8" x14ac:dyDescent="0.2">
      <c r="B30" s="28"/>
      <c r="C30" s="19" t="s">
        <v>170</v>
      </c>
      <c r="D30">
        <v>2.8</v>
      </c>
      <c r="E30" s="10">
        <v>2.8</v>
      </c>
      <c r="H30" s="10"/>
    </row>
    <row r="31" spans="2:8" x14ac:dyDescent="0.2">
      <c r="B31" s="28"/>
      <c r="C31" s="19" t="s">
        <v>172</v>
      </c>
      <c r="D31">
        <v>2</v>
      </c>
      <c r="E31" s="10">
        <v>2</v>
      </c>
      <c r="H31" s="10"/>
    </row>
    <row r="32" spans="2:8" x14ac:dyDescent="0.2">
      <c r="B32" s="28"/>
      <c r="C32" s="19" t="s">
        <v>171</v>
      </c>
      <c r="D32">
        <v>2</v>
      </c>
      <c r="E32" s="10">
        <v>2</v>
      </c>
      <c r="H32" s="10"/>
    </row>
    <row r="33" spans="2:8" x14ac:dyDescent="0.2">
      <c r="B33" s="28"/>
      <c r="C33" s="19" t="s">
        <v>173</v>
      </c>
      <c r="D33">
        <f>(10/G22)*2</f>
        <v>3.9447349710703041</v>
      </c>
      <c r="E33" s="10">
        <f>(10/G23)*2</f>
        <v>3.9247391048178666</v>
      </c>
      <c r="H33" s="10"/>
    </row>
    <row r="34" spans="2:8" x14ac:dyDescent="0.2">
      <c r="B34" s="28"/>
      <c r="C34" s="19" t="s">
        <v>169</v>
      </c>
      <c r="D34">
        <f>100-SUM(D28:D32) - D33</f>
        <v>66.255265028929699</v>
      </c>
      <c r="E34" s="10">
        <f>100-SUM(D28:D32) - E33</f>
        <v>66.275260895182143</v>
      </c>
      <c r="H34" s="10"/>
    </row>
    <row r="35" spans="2:8" ht="17" thickBot="1" x14ac:dyDescent="0.25">
      <c r="B35" s="28"/>
      <c r="C35" s="20" t="s">
        <v>15</v>
      </c>
      <c r="D35" s="14">
        <f>SUM(D28:D32) + D33+D34</f>
        <v>100</v>
      </c>
      <c r="E35" s="15">
        <f>SUM(D28:D32) + E33+E34</f>
        <v>100</v>
      </c>
      <c r="H35" s="10"/>
    </row>
    <row r="36" spans="2:8" x14ac:dyDescent="0.2">
      <c r="B36" s="28"/>
      <c r="C36" s="2" t="s">
        <v>89</v>
      </c>
      <c r="H36" s="10"/>
    </row>
    <row r="37" spans="2:8" x14ac:dyDescent="0.2">
      <c r="B37" s="28"/>
      <c r="C37" s="2"/>
      <c r="H37" s="10"/>
    </row>
    <row r="38" spans="2:8" x14ac:dyDescent="0.2">
      <c r="B38" s="11" t="s">
        <v>138</v>
      </c>
      <c r="C38" s="2" t="s">
        <v>101</v>
      </c>
      <c r="H38" s="10"/>
    </row>
    <row r="39" spans="2:8" x14ac:dyDescent="0.2">
      <c r="B39" s="11"/>
      <c r="C39" s="2" t="s">
        <v>102</v>
      </c>
      <c r="H39" s="10"/>
    </row>
    <row r="40" spans="2:8" x14ac:dyDescent="0.2">
      <c r="B40" s="11"/>
      <c r="H40" s="10"/>
    </row>
    <row r="41" spans="2:8" ht="17" thickBot="1" x14ac:dyDescent="0.25">
      <c r="B41" s="11" t="s">
        <v>139</v>
      </c>
      <c r="C41" t="s">
        <v>90</v>
      </c>
      <c r="H41" s="10"/>
    </row>
    <row r="42" spans="2:8" x14ac:dyDescent="0.2">
      <c r="B42" s="28"/>
      <c r="C42" s="16" t="s">
        <v>91</v>
      </c>
      <c r="D42" s="18" t="s">
        <v>37</v>
      </c>
      <c r="E42" s="17" t="s">
        <v>38</v>
      </c>
      <c r="H42" s="10"/>
    </row>
    <row r="43" spans="2:8" x14ac:dyDescent="0.2">
      <c r="B43" s="28"/>
      <c r="C43" s="12" t="s">
        <v>159</v>
      </c>
      <c r="D43" s="2">
        <f>(D60*F60+D61*F61)/(F60+F61)</f>
        <v>269.25276752767508</v>
      </c>
      <c r="E43" s="21">
        <v>79.099999999999994</v>
      </c>
      <c r="H43" s="10"/>
    </row>
    <row r="44" spans="2:8" ht="17" thickBot="1" x14ac:dyDescent="0.25">
      <c r="B44" s="28"/>
      <c r="C44" s="13" t="s">
        <v>160</v>
      </c>
      <c r="D44" s="22">
        <f>(D62*F62+D63*F63)/(F62+F63)</f>
        <v>269.36434463794603</v>
      </c>
      <c r="E44" s="23">
        <v>40.700000000000003</v>
      </c>
      <c r="H44" s="10"/>
    </row>
    <row r="45" spans="2:8" ht="17" thickBot="1" x14ac:dyDescent="0.25">
      <c r="B45" s="13"/>
      <c r="C45" s="14"/>
      <c r="D45" s="14"/>
      <c r="E45" s="14"/>
      <c r="F45" s="14"/>
      <c r="G45" s="14"/>
      <c r="H45" s="15"/>
    </row>
    <row r="48" spans="2:8" ht="17" thickBot="1" x14ac:dyDescent="0.25">
      <c r="B48" s="81" t="s">
        <v>121</v>
      </c>
      <c r="C48" s="82"/>
      <c r="D48" s="82"/>
      <c r="E48" s="82"/>
      <c r="F48" s="82"/>
      <c r="G48" s="82"/>
      <c r="H48" s="82"/>
    </row>
    <row r="49" spans="2:8" ht="19" x14ac:dyDescent="0.25">
      <c r="B49" s="74" t="s">
        <v>104</v>
      </c>
      <c r="C49" s="75"/>
      <c r="D49" s="75"/>
      <c r="E49" s="75"/>
      <c r="F49" s="75"/>
      <c r="G49" s="75"/>
      <c r="H49" s="76"/>
    </row>
    <row r="50" spans="2:8" x14ac:dyDescent="0.2">
      <c r="B50" s="9"/>
      <c r="H50" s="10"/>
    </row>
    <row r="51" spans="2:8" x14ac:dyDescent="0.2">
      <c r="B51" s="9" t="s">
        <v>39</v>
      </c>
      <c r="C51" t="s">
        <v>94</v>
      </c>
      <c r="D51" t="s">
        <v>95</v>
      </c>
      <c r="E51" t="s">
        <v>2</v>
      </c>
      <c r="F51" t="s">
        <v>40</v>
      </c>
      <c r="G51" t="s">
        <v>32</v>
      </c>
      <c r="H51" s="10"/>
    </row>
    <row r="52" spans="2:8" x14ac:dyDescent="0.2">
      <c r="B52" s="12" t="s">
        <v>73</v>
      </c>
      <c r="C52">
        <f>D7</f>
        <v>139.9</v>
      </c>
      <c r="D52" s="24">
        <f>'Input Parameters'!B2</f>
        <v>1587</v>
      </c>
      <c r="E52" s="24">
        <f>'Input Parameters'!B6</f>
        <v>268.24637681159402</v>
      </c>
      <c r="F52">
        <f>E7</f>
        <v>5</v>
      </c>
      <c r="G52">
        <f>C52/F52</f>
        <v>27.98</v>
      </c>
      <c r="H52" s="10"/>
    </row>
    <row r="53" spans="2:8" x14ac:dyDescent="0.2">
      <c r="B53" s="12" t="s">
        <v>74</v>
      </c>
      <c r="C53">
        <f>D8</f>
        <v>144.5</v>
      </c>
      <c r="D53" s="24">
        <f>'Input Parameters'!B3</f>
        <v>2110</v>
      </c>
      <c r="E53" s="24">
        <f>'Input Parameters'!B7</f>
        <v>268.07345971563899</v>
      </c>
      <c r="F53">
        <f>E8</f>
        <v>5</v>
      </c>
      <c r="G53">
        <f>C53/F53</f>
        <v>28.9</v>
      </c>
      <c r="H53" s="10"/>
    </row>
    <row r="54" spans="2:8" x14ac:dyDescent="0.2">
      <c r="B54" s="12"/>
      <c r="C54" t="s">
        <v>94</v>
      </c>
      <c r="D54" t="s">
        <v>95</v>
      </c>
      <c r="E54" t="s">
        <v>2</v>
      </c>
      <c r="F54" t="s">
        <v>40</v>
      </c>
      <c r="G54" t="s">
        <v>32</v>
      </c>
      <c r="H54" s="10"/>
    </row>
    <row r="55" spans="2:8" x14ac:dyDescent="0.2">
      <c r="B55" s="12" t="s">
        <v>75</v>
      </c>
      <c r="C55">
        <f>D9</f>
        <v>35000</v>
      </c>
      <c r="D55" s="24">
        <f>'Input Parameters'!B4</f>
        <v>39</v>
      </c>
      <c r="E55" s="24">
        <f>'Input Parameters'!B8</f>
        <v>310.20512820512801</v>
      </c>
      <c r="F55">
        <f>E9</f>
        <v>10</v>
      </c>
      <c r="G55">
        <f>C55/F55</f>
        <v>3500</v>
      </c>
      <c r="H55" s="10"/>
    </row>
    <row r="56" spans="2:8" x14ac:dyDescent="0.2">
      <c r="B56" s="12" t="s">
        <v>76</v>
      </c>
      <c r="C56">
        <f>D10</f>
        <v>68000</v>
      </c>
      <c r="D56" s="24">
        <f>'Input Parameters'!B5</f>
        <v>72</v>
      </c>
      <c r="E56" s="24">
        <f>'Input Parameters'!B9</f>
        <v>307.194444444444</v>
      </c>
      <c r="F56">
        <f>E10</f>
        <v>10</v>
      </c>
      <c r="G56">
        <f>C56/F56</f>
        <v>6800</v>
      </c>
      <c r="H56" s="10"/>
    </row>
    <row r="57" spans="2:8" x14ac:dyDescent="0.2">
      <c r="B57" s="12"/>
      <c r="H57" s="10"/>
    </row>
    <row r="58" spans="2:8" x14ac:dyDescent="0.2">
      <c r="B58" s="12"/>
      <c r="C58" s="1"/>
      <c r="D58" s="1"/>
      <c r="H58" s="10"/>
    </row>
    <row r="59" spans="2:8" x14ac:dyDescent="0.2">
      <c r="B59" s="9" t="s">
        <v>72</v>
      </c>
      <c r="C59" t="s">
        <v>1</v>
      </c>
      <c r="D59" t="s">
        <v>2</v>
      </c>
      <c r="E59" t="s">
        <v>3</v>
      </c>
      <c r="F59" t="s">
        <v>33</v>
      </c>
      <c r="G59" t="s">
        <v>5</v>
      </c>
      <c r="H59" s="10"/>
    </row>
    <row r="60" spans="2:8" x14ac:dyDescent="0.2">
      <c r="B60" s="12" t="s">
        <v>73</v>
      </c>
      <c r="C60">
        <f>F52</f>
        <v>5</v>
      </c>
      <c r="D60">
        <f>E52</f>
        <v>268.24637681159402</v>
      </c>
      <c r="E60">
        <f>(C60)/(D60*307.97 + 18.02) * 1000</f>
        <v>6.0510815360242907E-2</v>
      </c>
      <c r="F60">
        <f>D52</f>
        <v>1587</v>
      </c>
      <c r="G60">
        <f>(E60/F60)*1000</f>
        <v>3.8129058198010657E-2</v>
      </c>
      <c r="H60" s="10"/>
    </row>
    <row r="61" spans="2:8" x14ac:dyDescent="0.2">
      <c r="B61" s="12" t="s">
        <v>75</v>
      </c>
      <c r="C61">
        <f>F55</f>
        <v>10</v>
      </c>
      <c r="D61">
        <f>E55</f>
        <v>310.20512820512801</v>
      </c>
      <c r="E61">
        <f>(C61)/(D61*307.97 + 18.02) * 1000</f>
        <v>0.10465517376107815</v>
      </c>
      <c r="F61">
        <f>D55</f>
        <v>39</v>
      </c>
      <c r="G61">
        <f>(E61/F61)*1000</f>
        <v>2.6834659938737988</v>
      </c>
      <c r="H61" s="10"/>
    </row>
    <row r="62" spans="2:8" x14ac:dyDescent="0.2">
      <c r="B62" s="12" t="s">
        <v>74</v>
      </c>
      <c r="C62">
        <f>F53</f>
        <v>5</v>
      </c>
      <c r="D62">
        <f>E53</f>
        <v>268.07345971563899</v>
      </c>
      <c r="E62">
        <f>(C62)/(D62*307.97 + 18.02) * 1000</f>
        <v>6.0549838511385567E-2</v>
      </c>
      <c r="F62">
        <f>D53</f>
        <v>2110</v>
      </c>
      <c r="G62">
        <f>(E62/F62)*1000</f>
        <v>2.8696605929566622E-2</v>
      </c>
      <c r="H62" s="10"/>
    </row>
    <row r="63" spans="2:8" x14ac:dyDescent="0.2">
      <c r="B63" s="12" t="s">
        <v>76</v>
      </c>
      <c r="C63">
        <f>F56</f>
        <v>10</v>
      </c>
      <c r="D63">
        <f>E56</f>
        <v>307.194444444444</v>
      </c>
      <c r="E63">
        <f>(C63)/(D63*307.97 + 18.02) * 1000</f>
        <v>0.10568065984772987</v>
      </c>
      <c r="F63">
        <f>D56</f>
        <v>72</v>
      </c>
      <c r="G63">
        <f>(E63/F63)*1000</f>
        <v>1.4677869423295815</v>
      </c>
      <c r="H63" s="10"/>
    </row>
    <row r="64" spans="2:8" x14ac:dyDescent="0.2">
      <c r="B64" s="12"/>
      <c r="H64" s="10"/>
    </row>
    <row r="65" spans="2:8" x14ac:dyDescent="0.2">
      <c r="B65" s="9" t="s">
        <v>72</v>
      </c>
      <c r="C65" s="2" t="s">
        <v>8</v>
      </c>
      <c r="D65" s="2" t="s">
        <v>78</v>
      </c>
      <c r="E65" s="2" t="s">
        <v>77</v>
      </c>
      <c r="F65" t="s">
        <v>79</v>
      </c>
      <c r="G65" t="s">
        <v>80</v>
      </c>
      <c r="H65" s="25" t="s">
        <v>13</v>
      </c>
    </row>
    <row r="66" spans="2:8" x14ac:dyDescent="0.2">
      <c r="B66" s="12" t="s">
        <v>34</v>
      </c>
      <c r="C66">
        <f>D22</f>
        <v>10</v>
      </c>
      <c r="D66" s="2">
        <f>(G60*C66)/(G60+G61)</f>
        <v>0.14009820516459634</v>
      </c>
      <c r="E66" s="2">
        <f>C66-D66</f>
        <v>9.8599017948354035</v>
      </c>
      <c r="F66">
        <f>G60*E66/C66</f>
        <v>3.7594876936194885E-2</v>
      </c>
      <c r="G66">
        <f>G61*D66/C66</f>
        <v>3.7594876936194885E-2</v>
      </c>
      <c r="H66" s="25">
        <f>(C61*D66+C60*E66)/C66</f>
        <v>5.0700491025822974</v>
      </c>
    </row>
    <row r="67" spans="2:8" ht="17" thickBot="1" x14ac:dyDescent="0.25">
      <c r="B67" s="13" t="s">
        <v>35</v>
      </c>
      <c r="C67" s="14">
        <f>D23</f>
        <v>10</v>
      </c>
      <c r="D67" s="22">
        <f>(G62*C67)/(G62+G63)</f>
        <v>0.19176024997367488</v>
      </c>
      <c r="E67" s="22">
        <f>C67-D67</f>
        <v>9.8082397500263259</v>
      </c>
      <c r="F67" s="14">
        <f>G62*E67/C67</f>
        <v>2.8146319096921651E-2</v>
      </c>
      <c r="G67" s="14">
        <f>G63*D67/C67</f>
        <v>2.8146319096921647E-2</v>
      </c>
      <c r="H67" s="27">
        <f>(C63*D67+C62*E67)/C67</f>
        <v>5.095880124986838</v>
      </c>
    </row>
  </sheetData>
  <mergeCells count="4">
    <mergeCell ref="B49:H49"/>
    <mergeCell ref="B3:H3"/>
    <mergeCell ref="B1:H1"/>
    <mergeCell ref="B48:H48"/>
  </mergeCells>
  <pageMargins left="0.7" right="0.7" top="0.75" bottom="0.75" header="0.3" footer="0.3"/>
  <pageSetup scale="67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F5570-F459-3544-9297-052C67D50F2E}">
  <dimension ref="B2:Q54"/>
  <sheetViews>
    <sheetView topLeftCell="A18" zoomScale="80" zoomScaleNormal="80" workbookViewId="0">
      <selection activeCell="H54" sqref="H54"/>
    </sheetView>
  </sheetViews>
  <sheetFormatPr baseColWidth="10" defaultRowHeight="16" x14ac:dyDescent="0.2"/>
  <cols>
    <col min="1" max="1" width="20" customWidth="1"/>
    <col min="2" max="8" width="26.33203125" customWidth="1"/>
  </cols>
  <sheetData>
    <row r="2" spans="2:8" ht="17" thickBot="1" x14ac:dyDescent="0.25">
      <c r="B2" s="80" t="s">
        <v>71</v>
      </c>
      <c r="C2" s="80"/>
      <c r="D2" s="80"/>
      <c r="E2" s="80"/>
      <c r="F2" s="80"/>
      <c r="G2" s="80"/>
      <c r="H2" s="80"/>
    </row>
    <row r="3" spans="2:8" ht="19" x14ac:dyDescent="0.25">
      <c r="B3" s="74" t="s">
        <v>120</v>
      </c>
      <c r="C3" s="83"/>
      <c r="D3" s="83"/>
      <c r="E3" s="83"/>
      <c r="F3" s="83"/>
      <c r="G3" s="83"/>
      <c r="H3" s="84"/>
    </row>
    <row r="4" spans="2:8" x14ac:dyDescent="0.2">
      <c r="B4" s="12"/>
      <c r="H4" s="10"/>
    </row>
    <row r="5" spans="2:8" ht="17" thickBot="1" x14ac:dyDescent="0.25">
      <c r="B5" s="11" t="s">
        <v>141</v>
      </c>
      <c r="C5" t="s">
        <v>106</v>
      </c>
      <c r="H5" s="10"/>
    </row>
    <row r="6" spans="2:8" x14ac:dyDescent="0.2">
      <c r="B6" s="11"/>
      <c r="C6" s="37"/>
      <c r="D6" s="85" t="s">
        <v>161</v>
      </c>
      <c r="E6" s="86"/>
      <c r="F6" s="85" t="s">
        <v>162</v>
      </c>
      <c r="G6" s="87"/>
      <c r="H6" s="10"/>
    </row>
    <row r="7" spans="2:8" x14ac:dyDescent="0.2">
      <c r="B7" s="12"/>
      <c r="C7" s="9"/>
      <c r="D7" s="65" t="s">
        <v>174</v>
      </c>
      <c r="E7" s="68" t="s">
        <v>175</v>
      </c>
      <c r="F7" s="65" t="s">
        <v>176</v>
      </c>
      <c r="G7" s="64" t="s">
        <v>177</v>
      </c>
      <c r="H7" s="10"/>
    </row>
    <row r="8" spans="2:8" x14ac:dyDescent="0.2">
      <c r="B8" s="12"/>
      <c r="C8" s="9" t="s">
        <v>84</v>
      </c>
      <c r="D8" s="66">
        <f>D13-SUM(D9:D12)</f>
        <v>6.5944228266666656</v>
      </c>
      <c r="E8" s="69">
        <f>E13-SUM(E9:E12)</f>
        <v>5.7555607549278704</v>
      </c>
      <c r="F8" s="66">
        <f>F13-SUM(F9:F12)</f>
        <v>6.5944228266666656</v>
      </c>
      <c r="G8" s="10">
        <f>G13-SUM(G9:G12)</f>
        <v>4.9634282151365507</v>
      </c>
      <c r="H8" s="10"/>
    </row>
    <row r="9" spans="2:8" x14ac:dyDescent="0.2">
      <c r="B9" s="12"/>
      <c r="C9" s="9" t="s">
        <v>167</v>
      </c>
      <c r="D9" s="66">
        <f>G38</f>
        <v>2.4055771733333335</v>
      </c>
      <c r="E9" s="69">
        <f>G38</f>
        <v>2.4055771733333335</v>
      </c>
      <c r="F9" s="66">
        <f>G39</f>
        <v>2.4055771733333335</v>
      </c>
      <c r="G9" s="10">
        <f>G38</f>
        <v>2.4055771733333335</v>
      </c>
      <c r="H9" s="10"/>
    </row>
    <row r="10" spans="2:8" x14ac:dyDescent="0.2">
      <c r="B10" s="12"/>
      <c r="C10" s="9" t="s">
        <v>166</v>
      </c>
      <c r="D10" s="66">
        <v>0</v>
      </c>
      <c r="E10" s="69">
        <f>G40</f>
        <v>0.83886207173879523</v>
      </c>
      <c r="F10" s="66">
        <v>0</v>
      </c>
      <c r="G10" s="10">
        <f>G41</f>
        <v>1.6309946115301155</v>
      </c>
      <c r="H10" s="10"/>
    </row>
    <row r="11" spans="2:8" x14ac:dyDescent="0.2">
      <c r="B11" s="12"/>
      <c r="C11" s="9" t="s">
        <v>168</v>
      </c>
      <c r="D11" s="66">
        <v>5</v>
      </c>
      <c r="E11" s="69">
        <v>5</v>
      </c>
      <c r="F11" s="66">
        <v>5</v>
      </c>
      <c r="G11" s="10">
        <v>5</v>
      </c>
      <c r="H11" s="10"/>
    </row>
    <row r="12" spans="2:8" x14ac:dyDescent="0.2">
      <c r="B12" s="12"/>
      <c r="C12" s="9" t="s">
        <v>27</v>
      </c>
      <c r="D12" s="66">
        <v>1</v>
      </c>
      <c r="E12" s="69">
        <v>1</v>
      </c>
      <c r="F12" s="66">
        <v>1</v>
      </c>
      <c r="G12" s="10">
        <v>1</v>
      </c>
      <c r="H12" s="10"/>
    </row>
    <row r="13" spans="2:8" ht="17" thickBot="1" x14ac:dyDescent="0.25">
      <c r="B13" s="12"/>
      <c r="C13" s="29" t="s">
        <v>15</v>
      </c>
      <c r="D13" s="67">
        <v>15</v>
      </c>
      <c r="E13" s="70">
        <v>15</v>
      </c>
      <c r="F13" s="67">
        <v>15</v>
      </c>
      <c r="G13" s="15">
        <v>15</v>
      </c>
      <c r="H13" s="10"/>
    </row>
    <row r="14" spans="2:8" x14ac:dyDescent="0.2">
      <c r="B14" s="12"/>
      <c r="H14" s="10"/>
    </row>
    <row r="15" spans="2:8" x14ac:dyDescent="0.2">
      <c r="B15" s="11" t="s">
        <v>145</v>
      </c>
      <c r="C15" s="2" t="s">
        <v>142</v>
      </c>
      <c r="H15" s="10"/>
    </row>
    <row r="16" spans="2:8" x14ac:dyDescent="0.2">
      <c r="B16" s="12"/>
      <c r="H16" s="10"/>
    </row>
    <row r="17" spans="2:17" x14ac:dyDescent="0.2">
      <c r="B17" s="11" t="s">
        <v>143</v>
      </c>
      <c r="C17" s="2" t="s">
        <v>144</v>
      </c>
      <c r="H17" s="10"/>
    </row>
    <row r="18" spans="2:17" ht="17" thickBot="1" x14ac:dyDescent="0.25">
      <c r="B18" s="12"/>
      <c r="C18" s="2" t="s">
        <v>107</v>
      </c>
      <c r="H18" s="10"/>
    </row>
    <row r="19" spans="2:17" x14ac:dyDescent="0.2">
      <c r="B19" s="12"/>
      <c r="C19" s="16" t="s">
        <v>91</v>
      </c>
      <c r="D19" s="17" t="s">
        <v>38</v>
      </c>
      <c r="H19" s="10"/>
    </row>
    <row r="20" spans="2:17" x14ac:dyDescent="0.2">
      <c r="B20" s="12"/>
      <c r="C20" s="19" t="s">
        <v>108</v>
      </c>
      <c r="D20" s="30">
        <v>637.20000000000005</v>
      </c>
      <c r="H20" s="10"/>
    </row>
    <row r="21" spans="2:17" ht="17" thickBot="1" x14ac:dyDescent="0.25">
      <c r="B21" s="12"/>
      <c r="C21" s="20" t="s">
        <v>109</v>
      </c>
      <c r="D21" s="31">
        <v>673.5</v>
      </c>
      <c r="H21" s="10"/>
    </row>
    <row r="22" spans="2:17" x14ac:dyDescent="0.2">
      <c r="B22" s="12"/>
      <c r="H22" s="10"/>
    </row>
    <row r="23" spans="2:17" ht="17" thickBot="1" x14ac:dyDescent="0.25">
      <c r="B23" s="11" t="s">
        <v>146</v>
      </c>
      <c r="C23" t="s">
        <v>158</v>
      </c>
      <c r="H23" s="10"/>
    </row>
    <row r="24" spans="2:17" x14ac:dyDescent="0.2">
      <c r="B24" s="12"/>
      <c r="C24" s="16" t="s">
        <v>111</v>
      </c>
      <c r="D24" s="18" t="s">
        <v>110</v>
      </c>
      <c r="E24" s="18" t="s">
        <v>127</v>
      </c>
      <c r="F24" s="18" t="s">
        <v>112</v>
      </c>
      <c r="G24" s="17" t="s">
        <v>117</v>
      </c>
      <c r="H24" s="10"/>
    </row>
    <row r="25" spans="2:17" ht="17" thickBot="1" x14ac:dyDescent="0.25">
      <c r="B25" s="12"/>
      <c r="C25" s="32">
        <v>10</v>
      </c>
      <c r="D25" s="14">
        <f>D53</f>
        <v>4.4028434805573298</v>
      </c>
      <c r="E25" s="14">
        <f>E53</f>
        <v>5.5971565194426702</v>
      </c>
      <c r="F25" s="14">
        <f>H53</f>
        <v>657.51767816557697</v>
      </c>
      <c r="G25" s="15">
        <f>(F44*C44 + F45*C45)/(C44+C45)</f>
        <v>3078.1032037815125</v>
      </c>
      <c r="H25" s="10"/>
      <c r="Q25" s="1"/>
    </row>
    <row r="26" spans="2:17" x14ac:dyDescent="0.2">
      <c r="B26" s="12"/>
      <c r="H26" s="10"/>
    </row>
    <row r="27" spans="2:17" ht="17" thickBot="1" x14ac:dyDescent="0.25">
      <c r="B27" s="11" t="s">
        <v>147</v>
      </c>
      <c r="C27" t="s">
        <v>118</v>
      </c>
      <c r="H27" s="10"/>
    </row>
    <row r="28" spans="2:17" x14ac:dyDescent="0.2">
      <c r="B28" s="12"/>
      <c r="C28" s="16" t="s">
        <v>116</v>
      </c>
      <c r="D28" s="33">
        <f>(H53*C25/D29) - C25</f>
        <v>77.669023755410265</v>
      </c>
      <c r="H28" s="10"/>
    </row>
    <row r="29" spans="2:17" ht="17" thickBot="1" x14ac:dyDescent="0.25">
      <c r="B29" s="12"/>
      <c r="C29" s="29" t="s">
        <v>119</v>
      </c>
      <c r="D29" s="15">
        <v>75</v>
      </c>
      <c r="H29" s="10"/>
    </row>
    <row r="30" spans="2:17" x14ac:dyDescent="0.2">
      <c r="B30" s="12"/>
      <c r="H30" s="10"/>
    </row>
    <row r="31" spans="2:17" ht="17" thickBot="1" x14ac:dyDescent="0.25">
      <c r="B31" s="13"/>
      <c r="C31" s="14"/>
      <c r="D31" s="14"/>
      <c r="E31" s="14"/>
      <c r="F31" s="14"/>
      <c r="G31" s="14"/>
      <c r="H31" s="15"/>
    </row>
    <row r="34" spans="2:8" ht="17" thickBot="1" x14ac:dyDescent="0.25">
      <c r="B34" s="81" t="s">
        <v>121</v>
      </c>
      <c r="C34" s="82"/>
      <c r="D34" s="82"/>
      <c r="E34" s="82"/>
      <c r="F34" s="82"/>
      <c r="G34" s="82"/>
      <c r="H34" s="82"/>
    </row>
    <row r="35" spans="2:8" ht="19" x14ac:dyDescent="0.25">
      <c r="B35" s="74" t="s">
        <v>104</v>
      </c>
      <c r="C35" s="75"/>
      <c r="D35" s="75"/>
      <c r="E35" s="75"/>
      <c r="F35" s="75"/>
      <c r="G35" s="75"/>
      <c r="H35" s="76"/>
    </row>
    <row r="36" spans="2:8" x14ac:dyDescent="0.2">
      <c r="B36" s="12"/>
      <c r="H36" s="10"/>
    </row>
    <row r="37" spans="2:8" x14ac:dyDescent="0.2">
      <c r="B37" s="12"/>
      <c r="C37" s="52" t="s">
        <v>186</v>
      </c>
      <c r="D37" s="52" t="s">
        <v>189</v>
      </c>
      <c r="E37" s="52" t="s">
        <v>187</v>
      </c>
      <c r="F37" s="52" t="s">
        <v>188</v>
      </c>
      <c r="G37" s="52" t="s">
        <v>190</v>
      </c>
      <c r="H37" s="25"/>
    </row>
    <row r="38" spans="2:8" x14ac:dyDescent="0.2">
      <c r="B38" s="9" t="s">
        <v>28</v>
      </c>
      <c r="C38" s="2">
        <v>2929</v>
      </c>
      <c r="D38" s="2">
        <v>0.1</v>
      </c>
      <c r="E38" s="2">
        <f>D38*(C38*615.96 + 36.04) / 1000</f>
        <v>180.41828800000002</v>
      </c>
      <c r="F38" s="2">
        <v>75</v>
      </c>
      <c r="G38" s="2">
        <f>E38/F38</f>
        <v>2.4055771733333335</v>
      </c>
      <c r="H38" s="25"/>
    </row>
    <row r="39" spans="2:8" x14ac:dyDescent="0.2">
      <c r="B39" s="9" t="s">
        <v>29</v>
      </c>
      <c r="C39" s="2">
        <v>2929</v>
      </c>
      <c r="D39" s="2">
        <v>0.1</v>
      </c>
      <c r="E39" s="2">
        <f>D39*(C39*615.96 + 36.04) / 1000</f>
        <v>180.41828800000002</v>
      </c>
      <c r="F39" s="2">
        <v>75</v>
      </c>
      <c r="G39" s="2">
        <f>E39/F39</f>
        <v>2.4055771733333335</v>
      </c>
      <c r="H39" s="25"/>
    </row>
    <row r="40" spans="2:8" x14ac:dyDescent="0.2">
      <c r="B40" s="9" t="s">
        <v>30</v>
      </c>
      <c r="C40" s="38">
        <f>'Step 0 Oligo Pool Prep'!D43</f>
        <v>269.25276752767508</v>
      </c>
      <c r="D40" s="2">
        <v>0.4</v>
      </c>
      <c r="E40" s="2">
        <f>D40*(C40*615.96 + 36.04) / 1000</f>
        <v>66.353989874538698</v>
      </c>
      <c r="F40" s="38">
        <f>'Step 0 Oligo Pool Prep'!E43</f>
        <v>79.099999999999994</v>
      </c>
      <c r="G40" s="2">
        <f>E40/F40</f>
        <v>0.83886207173879523</v>
      </c>
      <c r="H40" s="25"/>
    </row>
    <row r="41" spans="2:8" x14ac:dyDescent="0.2">
      <c r="B41" s="9" t="s">
        <v>31</v>
      </c>
      <c r="C41" s="38">
        <f>'Step 0 Oligo Pool Prep'!D44</f>
        <v>269.36434463794603</v>
      </c>
      <c r="D41" s="2">
        <v>0.4</v>
      </c>
      <c r="E41" s="2">
        <f>D41*(C41*615.96 + 36.04) / 1000</f>
        <v>66.381480689275705</v>
      </c>
      <c r="F41" s="38">
        <f>'Step 0 Oligo Pool Prep'!E44</f>
        <v>40.700000000000003</v>
      </c>
      <c r="G41" s="2">
        <f>E41/F41</f>
        <v>1.6309946115301155</v>
      </c>
      <c r="H41" s="25"/>
    </row>
    <row r="42" spans="2:8" x14ac:dyDescent="0.2">
      <c r="B42" s="12"/>
      <c r="C42" s="2"/>
      <c r="D42" s="2"/>
      <c r="E42" s="2"/>
      <c r="F42" s="2"/>
      <c r="G42" s="2"/>
      <c r="H42" s="25"/>
    </row>
    <row r="43" spans="2:8" x14ac:dyDescent="0.2">
      <c r="B43" s="9" t="s">
        <v>66</v>
      </c>
      <c r="C43" s="2" t="s">
        <v>46</v>
      </c>
      <c r="D43" s="2" t="s">
        <v>41</v>
      </c>
      <c r="E43" s="2" t="s">
        <v>45</v>
      </c>
      <c r="F43" s="2" t="s">
        <v>42</v>
      </c>
      <c r="G43" s="2"/>
      <c r="H43" s="25"/>
    </row>
    <row r="44" spans="2:8" x14ac:dyDescent="0.2">
      <c r="B44" s="12" t="s">
        <v>17</v>
      </c>
      <c r="C44" s="38">
        <f>'Input Parameters'!B12</f>
        <v>1626</v>
      </c>
      <c r="D44" s="2">
        <v>2125</v>
      </c>
      <c r="E44" s="38">
        <f>'Input Parameters'!B14</f>
        <v>950.821648216482</v>
      </c>
      <c r="F44" s="2">
        <f>D44+E44</f>
        <v>3075.8216482164821</v>
      </c>
      <c r="G44" s="2"/>
      <c r="H44" s="25"/>
    </row>
    <row r="45" spans="2:8" x14ac:dyDescent="0.2">
      <c r="B45" s="12" t="s">
        <v>18</v>
      </c>
      <c r="C45" s="38">
        <f>'Input Parameters'!B13</f>
        <v>2182</v>
      </c>
      <c r="D45" s="2">
        <v>2125</v>
      </c>
      <c r="E45" s="38">
        <f>'Input Parameters'!B15</f>
        <v>954.803391384051</v>
      </c>
      <c r="F45" s="2">
        <f>D45+E45</f>
        <v>3079.8033913840509</v>
      </c>
      <c r="G45" s="2"/>
      <c r="H45" s="25"/>
    </row>
    <row r="46" spans="2:8" x14ac:dyDescent="0.2">
      <c r="B46" s="12"/>
      <c r="C46" s="2"/>
      <c r="D46" s="2"/>
      <c r="E46" s="2"/>
      <c r="F46" s="2"/>
      <c r="G46" s="2"/>
      <c r="H46" s="25"/>
    </row>
    <row r="47" spans="2:8" x14ac:dyDescent="0.2">
      <c r="B47" s="9" t="s">
        <v>0</v>
      </c>
      <c r="C47" s="2" t="s">
        <v>1</v>
      </c>
      <c r="D47" s="2" t="s">
        <v>2</v>
      </c>
      <c r="E47" s="2" t="s">
        <v>3</v>
      </c>
      <c r="F47" s="2" t="s">
        <v>16</v>
      </c>
      <c r="G47" s="2" t="s">
        <v>5</v>
      </c>
      <c r="H47" s="25"/>
    </row>
    <row r="48" spans="2:8" x14ac:dyDescent="0.2">
      <c r="B48" s="12" t="s">
        <v>17</v>
      </c>
      <c r="C48" s="2">
        <f>D20</f>
        <v>637.20000000000005</v>
      </c>
      <c r="D48" s="2">
        <f>F44</f>
        <v>3075.8216482164821</v>
      </c>
      <c r="E48" s="2">
        <f>(C48)/(D48*615.96 + 36.04) * 1000</f>
        <v>0.33632089200836213</v>
      </c>
      <c r="F48" s="2">
        <f>'Step 1 Golden Gate'!C44</f>
        <v>1626</v>
      </c>
      <c r="G48" s="2">
        <f>(E48/F48)*1000</f>
        <v>0.20683941697931249</v>
      </c>
      <c r="H48" s="25"/>
    </row>
    <row r="49" spans="2:8" x14ac:dyDescent="0.2">
      <c r="B49" s="12" t="s">
        <v>18</v>
      </c>
      <c r="C49" s="2">
        <f>D21</f>
        <v>673.5</v>
      </c>
      <c r="D49" s="2">
        <f>F45</f>
        <v>3079.8033913840509</v>
      </c>
      <c r="E49" s="2">
        <f>(C49)/(D49*615.96 + 36.04) * 1000</f>
        <v>0.35502083915938609</v>
      </c>
      <c r="F49" s="2">
        <f>'Step 1 Golden Gate'!C45</f>
        <v>2182</v>
      </c>
      <c r="G49" s="2">
        <f>(E49/F49)*1000</f>
        <v>0.1627043259208919</v>
      </c>
      <c r="H49" s="25"/>
    </row>
    <row r="50" spans="2:8" x14ac:dyDescent="0.2">
      <c r="B50" s="12"/>
      <c r="C50" s="2"/>
      <c r="D50" s="2"/>
      <c r="E50" s="2"/>
      <c r="F50" s="2"/>
      <c r="G50" s="2"/>
      <c r="H50" s="25"/>
    </row>
    <row r="51" spans="2:8" x14ac:dyDescent="0.2">
      <c r="B51" s="12"/>
      <c r="C51" s="2"/>
      <c r="D51" s="2"/>
      <c r="E51" s="2"/>
      <c r="F51" s="2"/>
      <c r="G51" s="2"/>
      <c r="H51" s="25"/>
    </row>
    <row r="52" spans="2:8" x14ac:dyDescent="0.2">
      <c r="B52" s="9" t="s">
        <v>0</v>
      </c>
      <c r="C52" s="2" t="s">
        <v>8</v>
      </c>
      <c r="D52" s="2" t="s">
        <v>19</v>
      </c>
      <c r="E52" s="2" t="s">
        <v>20</v>
      </c>
      <c r="F52" s="2" t="s">
        <v>21</v>
      </c>
      <c r="G52" s="2" t="s">
        <v>22</v>
      </c>
      <c r="H52" s="25" t="s">
        <v>13</v>
      </c>
    </row>
    <row r="53" spans="2:8" x14ac:dyDescent="0.2">
      <c r="B53" s="12" t="s">
        <v>14</v>
      </c>
      <c r="C53" s="2">
        <f>C25</f>
        <v>10</v>
      </c>
      <c r="D53" s="2">
        <f>(G49*C53)/(G48+G49)</f>
        <v>4.4028434805573298</v>
      </c>
      <c r="E53" s="2">
        <f>C53-D53</f>
        <v>5.5971565194426702</v>
      </c>
      <c r="F53" s="2">
        <f>G48*D53/C53</f>
        <v>9.106815785696451E-2</v>
      </c>
      <c r="G53" s="2">
        <f>G49*E53/C53</f>
        <v>9.106815785696451E-2</v>
      </c>
      <c r="H53" s="25">
        <f>(C48*D53+C49*E53)/C53</f>
        <v>657.51767816557697</v>
      </c>
    </row>
    <row r="54" spans="2:8" ht="17" thickBot="1" x14ac:dyDescent="0.25">
      <c r="B54" s="13"/>
      <c r="C54" s="14"/>
      <c r="D54" s="14"/>
      <c r="E54" s="14"/>
      <c r="F54" s="14"/>
      <c r="G54" s="14"/>
      <c r="H54" s="15"/>
    </row>
  </sheetData>
  <mergeCells count="6">
    <mergeCell ref="B3:H3"/>
    <mergeCell ref="B35:H35"/>
    <mergeCell ref="B2:H2"/>
    <mergeCell ref="B34:H34"/>
    <mergeCell ref="D6:E6"/>
    <mergeCell ref="F6:G6"/>
  </mergeCell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6A544-EA08-DF4F-96E1-6DE73993B6D6}">
  <sheetPr>
    <pageSetUpPr fitToPage="1"/>
  </sheetPr>
  <dimension ref="B2:N53"/>
  <sheetViews>
    <sheetView tabSelected="1" topLeftCell="B6" zoomScale="141" workbookViewId="0">
      <selection activeCell="C13" sqref="C13"/>
    </sheetView>
  </sheetViews>
  <sheetFormatPr baseColWidth="10" defaultRowHeight="16" x14ac:dyDescent="0.2"/>
  <cols>
    <col min="1" max="1" width="26.6640625" customWidth="1"/>
    <col min="2" max="8" width="32.33203125" customWidth="1"/>
    <col min="9" max="9" width="20.1640625" customWidth="1"/>
    <col min="10" max="10" width="25" customWidth="1"/>
  </cols>
  <sheetData>
    <row r="2" spans="2:8" ht="17" thickBot="1" x14ac:dyDescent="0.25">
      <c r="B2" s="88" t="s">
        <v>71</v>
      </c>
      <c r="C2" s="88"/>
      <c r="D2" s="88"/>
      <c r="E2" s="88"/>
      <c r="F2" s="88"/>
      <c r="G2" s="88"/>
      <c r="H2" s="88"/>
    </row>
    <row r="3" spans="2:8" ht="19" x14ac:dyDescent="0.25">
      <c r="B3" s="74" t="s">
        <v>130</v>
      </c>
      <c r="C3" s="75"/>
      <c r="D3" s="75"/>
      <c r="E3" s="75"/>
      <c r="F3" s="75"/>
      <c r="G3" s="75"/>
      <c r="H3" s="76"/>
    </row>
    <row r="4" spans="2:8" x14ac:dyDescent="0.2">
      <c r="B4" s="12"/>
      <c r="H4" s="10"/>
    </row>
    <row r="5" spans="2:8" ht="17" thickBot="1" x14ac:dyDescent="0.25">
      <c r="B5" s="11" t="s">
        <v>148</v>
      </c>
      <c r="C5" t="s">
        <v>106</v>
      </c>
      <c r="H5" s="10"/>
    </row>
    <row r="6" spans="2:8" x14ac:dyDescent="0.2">
      <c r="B6" s="11"/>
      <c r="C6" s="37"/>
      <c r="D6" s="85" t="s">
        <v>163</v>
      </c>
      <c r="E6" s="86"/>
      <c r="F6" s="85" t="s">
        <v>164</v>
      </c>
      <c r="G6" s="87"/>
      <c r="H6" s="10"/>
    </row>
    <row r="7" spans="2:8" x14ac:dyDescent="0.2">
      <c r="B7" s="12"/>
      <c r="C7" s="39"/>
      <c r="D7" s="46" t="s">
        <v>178</v>
      </c>
      <c r="E7" s="47" t="s">
        <v>179</v>
      </c>
      <c r="F7" s="40" t="s">
        <v>180</v>
      </c>
      <c r="G7" s="41" t="s">
        <v>181</v>
      </c>
      <c r="H7" s="10"/>
    </row>
    <row r="8" spans="2:8" x14ac:dyDescent="0.2">
      <c r="B8" s="12"/>
      <c r="C8" s="39" t="s">
        <v>84</v>
      </c>
      <c r="D8" s="48">
        <f>D13-SUM(D9:D12)</f>
        <v>15</v>
      </c>
      <c r="E8" s="49">
        <f>E13-SUM(E9:E12)</f>
        <v>10.82989940550703</v>
      </c>
      <c r="F8" s="4">
        <f>F13-SUM(F9:F12)</f>
        <v>15</v>
      </c>
      <c r="G8" s="42">
        <f>G13-SUM(G9:G12)</f>
        <v>10.82989940550703</v>
      </c>
      <c r="H8" s="10"/>
    </row>
    <row r="9" spans="2:8" x14ac:dyDescent="0.2">
      <c r="B9" s="12"/>
      <c r="C9" s="39" t="s">
        <v>122</v>
      </c>
      <c r="D9" s="48">
        <f>$G$38</f>
        <v>2</v>
      </c>
      <c r="E9" s="49">
        <f>$G$38</f>
        <v>2</v>
      </c>
      <c r="F9" s="4">
        <f>$G$38</f>
        <v>2</v>
      </c>
      <c r="G9" s="42">
        <f>$G$38</f>
        <v>2</v>
      </c>
      <c r="H9" s="10"/>
    </row>
    <row r="10" spans="2:8" x14ac:dyDescent="0.2">
      <c r="B10" s="12"/>
      <c r="C10" s="39" t="s">
        <v>165</v>
      </c>
      <c r="D10" s="48">
        <v>0</v>
      </c>
      <c r="E10" s="49">
        <f>G39</f>
        <v>4.1701005944929701</v>
      </c>
      <c r="F10" s="4">
        <v>0</v>
      </c>
      <c r="G10" s="42">
        <f>G39</f>
        <v>4.1701005944929701</v>
      </c>
      <c r="H10" s="10"/>
    </row>
    <row r="11" spans="2:8" x14ac:dyDescent="0.2">
      <c r="B11" s="12"/>
      <c r="C11" s="39" t="s">
        <v>23</v>
      </c>
      <c r="D11" s="48">
        <v>2</v>
      </c>
      <c r="E11" s="49">
        <v>2</v>
      </c>
      <c r="F11" s="4">
        <v>2</v>
      </c>
      <c r="G11" s="42">
        <v>2</v>
      </c>
      <c r="H11" s="10"/>
    </row>
    <row r="12" spans="2:8" x14ac:dyDescent="0.2">
      <c r="B12" s="12"/>
      <c r="C12" s="39" t="s">
        <v>195</v>
      </c>
      <c r="D12" s="48">
        <v>1</v>
      </c>
      <c r="E12" s="49">
        <v>1</v>
      </c>
      <c r="F12" s="4">
        <v>1</v>
      </c>
      <c r="G12" s="42">
        <v>1</v>
      </c>
      <c r="H12" s="10"/>
    </row>
    <row r="13" spans="2:8" ht="17" thickBot="1" x14ac:dyDescent="0.25">
      <c r="B13" s="12"/>
      <c r="C13" s="43" t="s">
        <v>15</v>
      </c>
      <c r="D13" s="50">
        <v>20</v>
      </c>
      <c r="E13" s="51">
        <v>20</v>
      </c>
      <c r="F13" s="44">
        <v>20</v>
      </c>
      <c r="G13" s="45">
        <v>20</v>
      </c>
      <c r="H13" s="10"/>
    </row>
    <row r="14" spans="2:8" x14ac:dyDescent="0.2">
      <c r="B14" s="12"/>
      <c r="C14" s="3"/>
      <c r="D14" s="4"/>
      <c r="E14" s="4"/>
      <c r="F14" s="4"/>
      <c r="G14" s="4"/>
      <c r="H14" s="10"/>
    </row>
    <row r="15" spans="2:8" x14ac:dyDescent="0.2">
      <c r="B15" s="11" t="s">
        <v>149</v>
      </c>
      <c r="C15" s="2" t="s">
        <v>142</v>
      </c>
      <c r="D15" s="4"/>
      <c r="E15" s="4"/>
      <c r="F15" s="4"/>
      <c r="G15" s="4"/>
      <c r="H15" s="10"/>
    </row>
    <row r="16" spans="2:8" x14ac:dyDescent="0.2">
      <c r="B16" s="12"/>
      <c r="H16" s="10"/>
    </row>
    <row r="17" spans="2:14" x14ac:dyDescent="0.2">
      <c r="B17" s="11" t="s">
        <v>150</v>
      </c>
      <c r="C17" s="2" t="s">
        <v>151</v>
      </c>
      <c r="H17" s="10"/>
    </row>
    <row r="18" spans="2:14" ht="17" thickBot="1" x14ac:dyDescent="0.25">
      <c r="B18" s="12"/>
      <c r="C18" s="2" t="s">
        <v>107</v>
      </c>
      <c r="H18" s="10"/>
    </row>
    <row r="19" spans="2:14" x14ac:dyDescent="0.2">
      <c r="B19" s="12"/>
      <c r="C19" s="16" t="s">
        <v>91</v>
      </c>
      <c r="D19" s="17" t="s">
        <v>38</v>
      </c>
      <c r="H19" s="10"/>
    </row>
    <row r="20" spans="2:14" x14ac:dyDescent="0.2">
      <c r="B20" s="12"/>
      <c r="C20" s="19" t="s">
        <v>123</v>
      </c>
      <c r="D20" s="30">
        <v>807.2</v>
      </c>
      <c r="H20" s="10"/>
    </row>
    <row r="21" spans="2:14" ht="17" thickBot="1" x14ac:dyDescent="0.25">
      <c r="B21" s="12"/>
      <c r="C21" s="20" t="s">
        <v>124</v>
      </c>
      <c r="D21" s="31">
        <v>978.9</v>
      </c>
      <c r="H21" s="10"/>
    </row>
    <row r="22" spans="2:14" x14ac:dyDescent="0.2">
      <c r="B22" s="12"/>
      <c r="H22" s="10"/>
    </row>
    <row r="23" spans="2:14" ht="17" thickBot="1" x14ac:dyDescent="0.25">
      <c r="B23" s="11" t="s">
        <v>152</v>
      </c>
      <c r="C23" t="s">
        <v>157</v>
      </c>
      <c r="H23" s="10"/>
    </row>
    <row r="24" spans="2:14" x14ac:dyDescent="0.2">
      <c r="B24" s="12"/>
      <c r="C24" s="16" t="s">
        <v>111</v>
      </c>
      <c r="D24" s="18" t="s">
        <v>125</v>
      </c>
      <c r="E24" s="18" t="s">
        <v>126</v>
      </c>
      <c r="F24" s="18" t="s">
        <v>112</v>
      </c>
      <c r="G24" s="17" t="s">
        <v>117</v>
      </c>
      <c r="H24" s="10"/>
    </row>
    <row r="25" spans="2:14" ht="17" thickBot="1" x14ac:dyDescent="0.25">
      <c r="B25" s="12"/>
      <c r="C25" s="32">
        <v>10</v>
      </c>
      <c r="D25" s="14">
        <f>D52</f>
        <v>5.5833757373253636</v>
      </c>
      <c r="E25" s="14">
        <f>E52</f>
        <v>4.4166242626746364</v>
      </c>
      <c r="F25" s="14">
        <f>H52</f>
        <v>883.03343859012352</v>
      </c>
      <c r="G25" s="15">
        <f>(F44*C44 + F45*C45)/(C44+C45)</f>
        <v>3952.2308298319317</v>
      </c>
      <c r="H25" s="10"/>
    </row>
    <row r="26" spans="2:14" x14ac:dyDescent="0.2">
      <c r="B26" s="12"/>
      <c r="H26" s="10"/>
    </row>
    <row r="27" spans="2:14" ht="17" thickBot="1" x14ac:dyDescent="0.25">
      <c r="B27" s="11" t="s">
        <v>153</v>
      </c>
      <c r="C27" t="s">
        <v>129</v>
      </c>
      <c r="H27" s="10"/>
    </row>
    <row r="28" spans="2:14" x14ac:dyDescent="0.2">
      <c r="B28" s="12"/>
      <c r="C28" s="16" t="s">
        <v>116</v>
      </c>
      <c r="D28" s="33">
        <f>(H52*C25/D29) - C25</f>
        <v>107.73779181201647</v>
      </c>
      <c r="H28" s="10"/>
    </row>
    <row r="29" spans="2:14" ht="17" thickBot="1" x14ac:dyDescent="0.25">
      <c r="B29" s="12"/>
      <c r="C29" s="29" t="s">
        <v>128</v>
      </c>
      <c r="D29" s="15">
        <v>75</v>
      </c>
      <c r="H29" s="10"/>
    </row>
    <row r="30" spans="2:14" x14ac:dyDescent="0.2">
      <c r="B30" s="12"/>
      <c r="H30" s="10"/>
    </row>
    <row r="31" spans="2:14" ht="17" thickBot="1" x14ac:dyDescent="0.25">
      <c r="B31" s="13"/>
      <c r="C31" s="14"/>
      <c r="D31" s="14"/>
      <c r="E31" s="14"/>
      <c r="F31" s="14"/>
      <c r="G31" s="14"/>
      <c r="H31" s="15"/>
    </row>
    <row r="32" spans="2:14" x14ac:dyDescent="0.2">
      <c r="K32" s="52"/>
      <c r="L32" s="52"/>
      <c r="M32" s="52"/>
      <c r="N32" s="73"/>
    </row>
    <row r="34" spans="2:8" ht="17" thickBot="1" x14ac:dyDescent="0.25">
      <c r="B34" s="81" t="s">
        <v>121</v>
      </c>
      <c r="C34" s="82"/>
      <c r="D34" s="82"/>
      <c r="E34" s="82"/>
      <c r="F34" s="82"/>
      <c r="G34" s="82"/>
      <c r="H34" s="82"/>
    </row>
    <row r="35" spans="2:8" ht="19" x14ac:dyDescent="0.25">
      <c r="B35" s="74" t="s">
        <v>104</v>
      </c>
      <c r="C35" s="75"/>
      <c r="D35" s="75"/>
      <c r="E35" s="75"/>
      <c r="F35" s="75"/>
      <c r="G35" s="75"/>
      <c r="H35" s="76"/>
    </row>
    <row r="36" spans="2:8" x14ac:dyDescent="0.2">
      <c r="B36" s="12"/>
      <c r="H36" s="10"/>
    </row>
    <row r="37" spans="2:8" x14ac:dyDescent="0.2">
      <c r="B37" s="39"/>
      <c r="C37" s="52" t="s">
        <v>186</v>
      </c>
      <c r="D37" s="52" t="s">
        <v>191</v>
      </c>
      <c r="E37" s="52" t="s">
        <v>192</v>
      </c>
      <c r="F37" s="52" t="s">
        <v>188</v>
      </c>
      <c r="G37" s="52" t="s">
        <v>190</v>
      </c>
      <c r="H37" s="25"/>
    </row>
    <row r="38" spans="2:8" x14ac:dyDescent="0.2">
      <c r="B38" s="39" t="s">
        <v>131</v>
      </c>
      <c r="C38" s="53">
        <f>'Step 1 Golden Gate'!G25</f>
        <v>3078.1032037815125</v>
      </c>
      <c r="D38" s="52">
        <v>150</v>
      </c>
      <c r="E38" s="52">
        <f>D38/C38</f>
        <v>4.8731309533651096E-2</v>
      </c>
      <c r="F38" s="53">
        <f>'Step 1 Golden Gate'!D29</f>
        <v>75</v>
      </c>
      <c r="G38" s="52">
        <f>D38/F38</f>
        <v>2</v>
      </c>
      <c r="H38" s="25"/>
    </row>
    <row r="39" spans="2:8" x14ac:dyDescent="0.2">
      <c r="B39" s="39" t="s">
        <v>24</v>
      </c>
      <c r="C39" s="52">
        <v>3209</v>
      </c>
      <c r="D39" s="52">
        <f>E39*C39</f>
        <v>312.75754458697276</v>
      </c>
      <c r="E39" s="52">
        <f>E38*2</f>
        <v>9.7462619067302192E-2</v>
      </c>
      <c r="F39" s="52">
        <v>75</v>
      </c>
      <c r="G39" s="52">
        <f>D39/F39</f>
        <v>4.1701005944929701</v>
      </c>
      <c r="H39" s="25"/>
    </row>
    <row r="40" spans="2:8" x14ac:dyDescent="0.2">
      <c r="B40" s="12"/>
      <c r="C40" s="2"/>
      <c r="D40" s="2"/>
      <c r="E40" s="2" t="s">
        <v>25</v>
      </c>
      <c r="F40" s="2"/>
      <c r="G40" s="2"/>
      <c r="H40" s="25"/>
    </row>
    <row r="41" spans="2:8" x14ac:dyDescent="0.2">
      <c r="B41" s="12"/>
      <c r="C41" s="2"/>
      <c r="D41" s="2"/>
      <c r="E41" s="2" t="s">
        <v>26</v>
      </c>
      <c r="F41" s="2"/>
      <c r="G41" s="2"/>
      <c r="H41" s="25"/>
    </row>
    <row r="42" spans="2:8" x14ac:dyDescent="0.2">
      <c r="B42" s="54"/>
      <c r="C42" s="52"/>
      <c r="D42" s="52"/>
      <c r="E42" s="52"/>
      <c r="F42" s="52"/>
      <c r="G42" s="52"/>
      <c r="H42" s="25"/>
    </row>
    <row r="43" spans="2:8" x14ac:dyDescent="0.2">
      <c r="B43" s="9" t="s">
        <v>65</v>
      </c>
      <c r="C43" s="2" t="s">
        <v>64</v>
      </c>
      <c r="D43" s="2" t="s">
        <v>41</v>
      </c>
      <c r="E43" s="2" t="s">
        <v>44</v>
      </c>
      <c r="F43" s="2" t="s">
        <v>43</v>
      </c>
      <c r="G43" s="2"/>
      <c r="H43" s="25"/>
    </row>
    <row r="44" spans="2:8" x14ac:dyDescent="0.2">
      <c r="B44" s="12" t="s">
        <v>6</v>
      </c>
      <c r="C44" s="38">
        <f>'Input Parameters'!B16</f>
        <v>1944</v>
      </c>
      <c r="D44" s="2">
        <v>2125</v>
      </c>
      <c r="E44" s="38">
        <f>'Input Parameters'!B18</f>
        <v>1826.3348765432099</v>
      </c>
      <c r="F44" s="2">
        <f>D44+E44</f>
        <v>3951.3348765432102</v>
      </c>
      <c r="G44" s="2"/>
      <c r="H44" s="25"/>
    </row>
    <row r="45" spans="2:8" x14ac:dyDescent="0.2">
      <c r="B45" s="12" t="s">
        <v>7</v>
      </c>
      <c r="C45" s="38">
        <f>'Input Parameters'!B17</f>
        <v>1864</v>
      </c>
      <c r="D45" s="2">
        <v>2125</v>
      </c>
      <c r="E45" s="38">
        <f>'Input Parameters'!B19</f>
        <v>1828.1652360515</v>
      </c>
      <c r="F45" s="2">
        <f>D45+E45</f>
        <v>3953.1652360515</v>
      </c>
      <c r="G45" s="2"/>
      <c r="H45" s="25"/>
    </row>
    <row r="46" spans="2:8" x14ac:dyDescent="0.2">
      <c r="B46" s="12"/>
      <c r="C46" s="2"/>
      <c r="D46" s="2"/>
      <c r="E46" s="2"/>
      <c r="F46" s="2"/>
      <c r="G46" s="2"/>
      <c r="H46" s="25"/>
    </row>
    <row r="47" spans="2:8" x14ac:dyDescent="0.2">
      <c r="B47" s="9" t="s">
        <v>67</v>
      </c>
      <c r="C47" s="2" t="s">
        <v>1</v>
      </c>
      <c r="D47" s="2" t="s">
        <v>2</v>
      </c>
      <c r="E47" s="2" t="s">
        <v>3</v>
      </c>
      <c r="F47" s="2" t="s">
        <v>4</v>
      </c>
      <c r="G47" s="2" t="s">
        <v>5</v>
      </c>
      <c r="H47" s="25"/>
    </row>
    <row r="48" spans="2:8" x14ac:dyDescent="0.2">
      <c r="B48" s="12" t="s">
        <v>6</v>
      </c>
      <c r="C48" s="2">
        <f>D20</f>
        <v>807.2</v>
      </c>
      <c r="D48" s="2">
        <f>F44</f>
        <v>3951.3348765432102</v>
      </c>
      <c r="E48" s="2">
        <f>(C48)/(D48*615.96 + 36.04) * 1000</f>
        <v>0.33164875724992243</v>
      </c>
      <c r="F48" s="2">
        <f>C44</f>
        <v>1944</v>
      </c>
      <c r="G48" s="2">
        <f>(E48/F48)*1000</f>
        <v>0.17060121257712058</v>
      </c>
      <c r="H48" s="25"/>
    </row>
    <row r="49" spans="2:8" x14ac:dyDescent="0.2">
      <c r="B49" s="12" t="s">
        <v>7</v>
      </c>
      <c r="C49" s="2">
        <f>D21</f>
        <v>978.9</v>
      </c>
      <c r="D49" s="2">
        <f>F45</f>
        <v>3953.1652360515</v>
      </c>
      <c r="E49" s="2">
        <f>(C49)/(D49*615.96 + 36.04) * 1000</f>
        <v>0.40200774737925971</v>
      </c>
      <c r="F49" s="2">
        <f>C45</f>
        <v>1864</v>
      </c>
      <c r="G49" s="2">
        <f>(E49/F49)*1000</f>
        <v>0.21566939237084751</v>
      </c>
      <c r="H49" s="25"/>
    </row>
    <row r="50" spans="2:8" x14ac:dyDescent="0.2">
      <c r="B50" s="12"/>
      <c r="C50" s="2"/>
      <c r="D50" s="2"/>
      <c r="E50" s="2"/>
      <c r="F50" s="2"/>
      <c r="G50" s="2"/>
      <c r="H50" s="25"/>
    </row>
    <row r="51" spans="2:8" x14ac:dyDescent="0.2">
      <c r="B51" s="9" t="s">
        <v>67</v>
      </c>
      <c r="C51" s="2" t="s">
        <v>8</v>
      </c>
      <c r="D51" s="2" t="s">
        <v>9</v>
      </c>
      <c r="E51" s="2" t="s">
        <v>10</v>
      </c>
      <c r="F51" s="2" t="s">
        <v>11</v>
      </c>
      <c r="G51" s="2" t="s">
        <v>12</v>
      </c>
      <c r="H51" s="25" t="s">
        <v>13</v>
      </c>
    </row>
    <row r="52" spans="2:8" x14ac:dyDescent="0.2">
      <c r="B52" s="12" t="s">
        <v>68</v>
      </c>
      <c r="C52" s="2">
        <f>C25</f>
        <v>10</v>
      </c>
      <c r="D52" s="2">
        <f>(G49*C52)/(G48+G49)</f>
        <v>5.5833757373253636</v>
      </c>
      <c r="E52" s="2">
        <f>C52-D52</f>
        <v>4.4166242626746364</v>
      </c>
      <c r="F52" s="2">
        <f>G48*D52/C52</f>
        <v>9.5253067106138165E-2</v>
      </c>
      <c r="G52" s="2">
        <f>G49*E52/C52</f>
        <v>9.5253067106138123E-2</v>
      </c>
      <c r="H52" s="25">
        <f>(C48*D52+C49*E52)/C52</f>
        <v>883.03343859012352</v>
      </c>
    </row>
    <row r="53" spans="2:8" ht="17" thickBot="1" x14ac:dyDescent="0.25">
      <c r="B53" s="13"/>
      <c r="C53" s="22"/>
      <c r="D53" s="22"/>
      <c r="E53" s="22"/>
      <c r="F53" s="22"/>
      <c r="G53" s="22"/>
      <c r="H53" s="27"/>
    </row>
  </sheetData>
  <mergeCells count="6">
    <mergeCell ref="B35:H35"/>
    <mergeCell ref="B2:H2"/>
    <mergeCell ref="B3:H3"/>
    <mergeCell ref="D6:E6"/>
    <mergeCell ref="F6:G6"/>
    <mergeCell ref="B34:H34"/>
  </mergeCells>
  <pageMargins left="0.7" right="0.7" top="0.75" bottom="0.75" header="0.3" footer="0.3"/>
  <pageSetup scale="67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3F94B-CC84-454A-A4C0-E28A5B575177}">
  <sheetPr>
    <pageSetUpPr fitToPage="1"/>
  </sheetPr>
  <dimension ref="A2:I38"/>
  <sheetViews>
    <sheetView zoomScale="108" zoomScaleNormal="156" workbookViewId="0">
      <selection activeCell="D36" sqref="D36"/>
    </sheetView>
  </sheetViews>
  <sheetFormatPr baseColWidth="10" defaultRowHeight="16" x14ac:dyDescent="0.2"/>
  <cols>
    <col min="1" max="1" width="15.5" customWidth="1"/>
    <col min="2" max="7" width="28.5" customWidth="1"/>
    <col min="8" max="8" width="22.1640625" customWidth="1"/>
    <col min="9" max="9" width="20.1640625" customWidth="1"/>
    <col min="10" max="10" width="25" customWidth="1"/>
  </cols>
  <sheetData>
    <row r="2" spans="2:8" ht="17" thickBot="1" x14ac:dyDescent="0.25">
      <c r="B2" s="88" t="s">
        <v>71</v>
      </c>
      <c r="C2" s="88"/>
      <c r="D2" s="88"/>
      <c r="E2" s="88"/>
      <c r="F2" s="88"/>
      <c r="G2" s="88"/>
      <c r="H2" s="60"/>
    </row>
    <row r="3" spans="2:8" ht="19" x14ac:dyDescent="0.25">
      <c r="B3" s="74" t="s">
        <v>134</v>
      </c>
      <c r="C3" s="75"/>
      <c r="D3" s="75"/>
      <c r="E3" s="75"/>
      <c r="F3" s="75"/>
      <c r="G3" s="76"/>
      <c r="H3" s="58"/>
    </row>
    <row r="4" spans="2:8" x14ac:dyDescent="0.2">
      <c r="B4" s="12"/>
      <c r="G4" s="10"/>
    </row>
    <row r="5" spans="2:8" x14ac:dyDescent="0.2">
      <c r="B5" s="11" t="s">
        <v>156</v>
      </c>
      <c r="C5" t="s">
        <v>106</v>
      </c>
      <c r="G5" s="10"/>
    </row>
    <row r="6" spans="2:8" ht="17" thickBot="1" x14ac:dyDescent="0.25">
      <c r="B6" s="11"/>
      <c r="C6" t="s">
        <v>185</v>
      </c>
      <c r="G6" s="10"/>
    </row>
    <row r="7" spans="2:8" x14ac:dyDescent="0.2">
      <c r="B7" s="12"/>
      <c r="C7" s="55"/>
      <c r="D7" s="56" t="s">
        <v>182</v>
      </c>
      <c r="E7" s="57" t="s">
        <v>194</v>
      </c>
      <c r="G7" s="10"/>
    </row>
    <row r="8" spans="2:8" x14ac:dyDescent="0.2">
      <c r="B8" s="12"/>
      <c r="C8" s="39" t="s">
        <v>84</v>
      </c>
      <c r="D8" s="4">
        <f>D13-SUM(D9:D12)</f>
        <v>8.3617300222841227</v>
      </c>
      <c r="E8" s="42">
        <f>E13-SUM(E9:E12)</f>
        <v>5.1157938330264194</v>
      </c>
      <c r="G8" s="10"/>
    </row>
    <row r="9" spans="2:8" x14ac:dyDescent="0.2">
      <c r="B9" s="12"/>
      <c r="C9" s="39" t="s">
        <v>193</v>
      </c>
      <c r="D9" s="4">
        <f>G26</f>
        <v>0.63826997771587746</v>
      </c>
      <c r="E9" s="42">
        <f>G26</f>
        <v>0.63826997771587746</v>
      </c>
      <c r="G9" s="10"/>
    </row>
    <row r="10" spans="2:8" x14ac:dyDescent="0.2">
      <c r="B10" s="12"/>
      <c r="C10" s="39" t="s">
        <v>184</v>
      </c>
      <c r="D10" s="4">
        <v>0</v>
      </c>
      <c r="E10" s="42">
        <f>G27</f>
        <v>3.2459361892577028</v>
      </c>
      <c r="G10" s="10"/>
    </row>
    <row r="11" spans="2:8" x14ac:dyDescent="0.2">
      <c r="B11" s="12"/>
      <c r="C11" s="39" t="s">
        <v>168</v>
      </c>
      <c r="D11" s="4">
        <v>5</v>
      </c>
      <c r="E11" s="42">
        <v>5</v>
      </c>
      <c r="G11" s="10"/>
    </row>
    <row r="12" spans="2:8" x14ac:dyDescent="0.2">
      <c r="B12" s="12"/>
      <c r="C12" s="39" t="s">
        <v>47</v>
      </c>
      <c r="D12" s="4">
        <v>1</v>
      </c>
      <c r="E12" s="42">
        <v>1</v>
      </c>
      <c r="G12" s="10"/>
    </row>
    <row r="13" spans="2:8" ht="17" thickBot="1" x14ac:dyDescent="0.25">
      <c r="B13" s="12"/>
      <c r="C13" s="43" t="s">
        <v>15</v>
      </c>
      <c r="D13" s="44">
        <v>15</v>
      </c>
      <c r="E13" s="45">
        <v>15</v>
      </c>
      <c r="G13" s="10"/>
    </row>
    <row r="14" spans="2:8" ht="15" customHeight="1" x14ac:dyDescent="0.2">
      <c r="B14" s="12"/>
      <c r="G14" s="10"/>
    </row>
    <row r="15" spans="2:8" ht="15" customHeight="1" x14ac:dyDescent="0.2">
      <c r="B15" s="11" t="s">
        <v>155</v>
      </c>
      <c r="C15" s="2" t="s">
        <v>154</v>
      </c>
      <c r="G15" s="10"/>
    </row>
    <row r="16" spans="2:8" ht="15" customHeight="1" thickBot="1" x14ac:dyDescent="0.25">
      <c r="B16" s="12"/>
      <c r="C16" s="2" t="s">
        <v>132</v>
      </c>
      <c r="F16" s="1"/>
      <c r="G16" s="10"/>
    </row>
    <row r="17" spans="1:9" ht="15" customHeight="1" x14ac:dyDescent="0.2">
      <c r="B17" s="12"/>
      <c r="C17" s="16" t="s">
        <v>91</v>
      </c>
      <c r="D17" s="17" t="s">
        <v>38</v>
      </c>
      <c r="G17" s="10"/>
    </row>
    <row r="18" spans="1:9" ht="15" customHeight="1" thickBot="1" x14ac:dyDescent="0.25">
      <c r="B18" s="12"/>
      <c r="C18" s="20" t="s">
        <v>133</v>
      </c>
      <c r="D18" s="31">
        <v>807.2</v>
      </c>
      <c r="G18" s="10"/>
    </row>
    <row r="19" spans="1:9" ht="15" customHeight="1" thickBot="1" x14ac:dyDescent="0.25">
      <c r="B19" s="13"/>
      <c r="C19" s="22"/>
      <c r="D19" s="14"/>
      <c r="E19" s="14"/>
      <c r="F19" s="14"/>
      <c r="G19" s="15"/>
    </row>
    <row r="21" spans="1:9" x14ac:dyDescent="0.2">
      <c r="B21" s="1"/>
    </row>
    <row r="22" spans="1:9" ht="17" thickBot="1" x14ac:dyDescent="0.25">
      <c r="B22" s="89" t="s">
        <v>121</v>
      </c>
      <c r="C22" s="89"/>
      <c r="D22" s="89"/>
      <c r="E22" s="89"/>
      <c r="F22" s="89"/>
      <c r="G22" s="89"/>
      <c r="H22" s="2"/>
    </row>
    <row r="23" spans="1:9" ht="19" x14ac:dyDescent="0.25">
      <c r="B23" s="74" t="s">
        <v>104</v>
      </c>
      <c r="C23" s="75"/>
      <c r="D23" s="75"/>
      <c r="E23" s="75"/>
      <c r="F23" s="75"/>
      <c r="G23" s="76"/>
      <c r="H23" s="59"/>
    </row>
    <row r="24" spans="1:9" ht="19" x14ac:dyDescent="0.25">
      <c r="B24" s="61"/>
      <c r="C24" s="62"/>
      <c r="D24" s="62"/>
      <c r="E24" s="62"/>
      <c r="F24" s="62"/>
      <c r="G24" s="63"/>
      <c r="H24" s="59"/>
    </row>
    <row r="25" spans="1:9" x14ac:dyDescent="0.2">
      <c r="B25" s="39"/>
      <c r="C25" s="52" t="s">
        <v>186</v>
      </c>
      <c r="D25" s="52" t="s">
        <v>189</v>
      </c>
      <c r="E25" s="52" t="s">
        <v>187</v>
      </c>
      <c r="F25" s="52" t="s">
        <v>188</v>
      </c>
      <c r="G25" s="73" t="s">
        <v>190</v>
      </c>
    </row>
    <row r="26" spans="1:9" x14ac:dyDescent="0.2">
      <c r="B26" s="71" t="s">
        <v>183</v>
      </c>
      <c r="C26" s="72">
        <v>7440</v>
      </c>
      <c r="D26" s="4">
        <v>0.05</v>
      </c>
      <c r="E26" s="4">
        <f>D26*(C26*615.96 + 36.04) / 1000</f>
        <v>229.13892200000001</v>
      </c>
      <c r="F26" s="4">
        <v>359</v>
      </c>
      <c r="G26" s="42">
        <f>E26/F26</f>
        <v>0.63826997771587746</v>
      </c>
      <c r="H26" s="1"/>
      <c r="I26" s="1"/>
    </row>
    <row r="27" spans="1:9" x14ac:dyDescent="0.2">
      <c r="B27" s="9" t="s">
        <v>184</v>
      </c>
      <c r="C27" s="24">
        <f>'Step 2 Golden Gate'!G25</f>
        <v>3952.2308298319317</v>
      </c>
      <c r="D27">
        <v>0.1</v>
      </c>
      <c r="E27" s="4">
        <f>D27*(C27*615.96 + 36.04) / 1000</f>
        <v>243.44521419432772</v>
      </c>
      <c r="F27" s="24">
        <f>'Step 2 Golden Gate'!D29</f>
        <v>75</v>
      </c>
      <c r="G27" s="10">
        <f>E27/F27</f>
        <v>3.2459361892577028</v>
      </c>
      <c r="H27" s="1"/>
      <c r="I27" s="1"/>
    </row>
    <row r="28" spans="1:9" ht="17" thickBot="1" x14ac:dyDescent="0.25">
      <c r="B28" s="13"/>
      <c r="C28" s="14"/>
      <c r="D28" s="44"/>
      <c r="E28" s="44"/>
      <c r="F28" s="44"/>
      <c r="G28" s="45"/>
      <c r="H28" s="1"/>
      <c r="I28" s="1"/>
    </row>
    <row r="29" spans="1:9" x14ac:dyDescent="0.2">
      <c r="D29" s="4"/>
      <c r="E29" s="4"/>
      <c r="F29" s="4"/>
      <c r="G29" s="4"/>
    </row>
    <row r="30" spans="1:9" x14ac:dyDescent="0.2">
      <c r="D30" s="4"/>
      <c r="E30" s="4"/>
      <c r="F30" s="4"/>
      <c r="G30" s="4"/>
    </row>
    <row r="31" spans="1:9" x14ac:dyDescent="0.2">
      <c r="A31" s="4"/>
      <c r="B31" s="4"/>
      <c r="C31" s="4"/>
      <c r="D31" s="4"/>
      <c r="E31" s="4"/>
      <c r="F31" s="4"/>
    </row>
    <row r="32" spans="1:9" x14ac:dyDescent="0.2">
      <c r="E32" s="3"/>
      <c r="F32" s="3"/>
    </row>
    <row r="37" spans="1:6" x14ac:dyDescent="0.2">
      <c r="A37" s="4"/>
      <c r="B37" s="4"/>
      <c r="C37" s="4"/>
      <c r="D37" s="4"/>
      <c r="E37" s="4"/>
      <c r="F37" s="4"/>
    </row>
    <row r="38" spans="1:6" x14ac:dyDescent="0.2">
      <c r="A38" s="4"/>
      <c r="B38" s="4"/>
      <c r="C38" s="4"/>
      <c r="D38" s="4"/>
      <c r="E38" s="4"/>
      <c r="F38" s="4"/>
    </row>
  </sheetData>
  <mergeCells count="4">
    <mergeCell ref="B22:G22"/>
    <mergeCell ref="B23:G23"/>
    <mergeCell ref="B2:G2"/>
    <mergeCell ref="B3:G3"/>
  </mergeCells>
  <pageMargins left="0.7" right="0.7" top="0.75" bottom="0.75" header="0.3" footer="0.3"/>
  <pageSetup scale="67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Input Parameters</vt:lpstr>
      <vt:lpstr>Step 0 Oligo Pool Prep</vt:lpstr>
      <vt:lpstr>Step 1 Golden Gate</vt:lpstr>
      <vt:lpstr>Step 2 Golden Gate</vt:lpstr>
      <vt:lpstr>Step 3 Golden Gate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Rachit Mukkamala</dc:creator>
  <cp:lastModifiedBy>Stephanie Gaglione</cp:lastModifiedBy>
  <dcterms:created xsi:type="dcterms:W3CDTF">2025-04-06T12:08:40Z</dcterms:created>
  <dcterms:modified xsi:type="dcterms:W3CDTF">2026-05-07T22:40:49Z</dcterms:modified>
</cp:coreProperties>
</file>